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RM_Search_Result" sheetId="1" r:id="rId1"/>
  </sheets>
  <calcPr fullCalcOnLoad="1"/>
</workbook>
</file>

<file path=xl/sharedStrings.xml><?xml version="1.0" encoding="utf-8"?>
<sst xmlns="http://schemas.openxmlformats.org/spreadsheetml/2006/main" count="3983" uniqueCount="3983">
  <si>
    <t>Your search results for: 'microsoft'</t>
  </si>
  <si>
    <t>Name</t>
  </si>
  <si>
    <t>Vendor</t>
  </si>
  <si>
    <t>Status</t>
  </si>
  <si>
    <t>Decision Date/Date Requested</t>
  </si>
  <si>
    <t>Microsoft</t>
  </si>
  <si>
    <t>Analysis Completed</t>
  </si>
  <si>
    <t>03/18/2024 at 23:38:56 UTC</t>
  </si>
  <si>
    <t>02/05/2024 at 01:41:08 UTC</t>
  </si>
  <si>
    <t>12/11/2023 at 20:10:30 UTC</t>
  </si>
  <si>
    <t>09/28/2023 at 15:36:23 UTC</t>
  </si>
  <si>
    <t>11/16/2023 at 20:31:11 UTC</t>
  </si>
  <si>
    <t>05/14/2024 at 21:56:42 UTC</t>
  </si>
  <si>
    <t>01/25/2024 at 01:34:23 UTC</t>
  </si>
  <si>
    <t>KingswaySoft</t>
  </si>
  <si>
    <t>01/06/2025 at 02:05:00 UTC</t>
  </si>
  <si>
    <t>11/26/2024 at 15:08:22 UTC</t>
  </si>
  <si>
    <t>09/26/2024 at 15:07:47 UTC</t>
  </si>
  <si>
    <t>11/29/2024 at 17:31:33 UTC</t>
  </si>
  <si>
    <t>02/27/2024 at 03:43:30 UTC</t>
  </si>
  <si>
    <t>12/04/2024 at 16:23:31 UTC</t>
  </si>
  <si>
    <t>09/26/2024 at 15:07:46 UTC</t>
  </si>
  <si>
    <t>01/18/2024 at 18:39:04 UTC</t>
  </si>
  <si>
    <t>11/16/2023 at 20:31:17 UTC</t>
  </si>
  <si>
    <t>11/14/2024 at 18:51:16 UTC</t>
  </si>
  <si>
    <t>09/09/2024 at 16:40:37 UTC</t>
  </si>
  <si>
    <t>01/25/2024 at 01:34:17 UTC</t>
  </si>
  <si>
    <t>04/23/2024 at 01:42:37 UTC</t>
  </si>
  <si>
    <t>10/28/2024 at 13:47:30 UTC</t>
  </si>
  <si>
    <t>03/27/2024 at 02:56:32 UTC</t>
  </si>
  <si>
    <t>06/21/2024 at 02:48:55 UTC</t>
  </si>
  <si>
    <t>10/25/2024 at 15:13:45 UTC</t>
  </si>
  <si>
    <t>12/19/2024 at 22:32:13 UTC</t>
  </si>
  <si>
    <t>02/08/2024 at 15:41:35 UTC</t>
  </si>
  <si>
    <t>11/29/2024 at 20:47:41 UTC</t>
  </si>
  <si>
    <t>02/12/2024 at 20:36:41 UTC</t>
  </si>
  <si>
    <t>01/18/2024 at 18:39:10 UTC</t>
  </si>
  <si>
    <t>10/10/2024 at 18:03:51 UTC</t>
  </si>
  <si>
    <t>12/04/2024 at 19:12:01 UTC</t>
  </si>
  <si>
    <t>12/16/2024 at 20:45:51 UTC</t>
  </si>
  <si>
    <t>01/25/2024 at 01:32:52 UTC</t>
  </si>
  <si>
    <t>11/04/2022 at 01:37:19 UTC</t>
  </si>
  <si>
    <t>03/31/2023 at 18:01:30 UTC</t>
  </si>
  <si>
    <t>12/27/2024 at 23:58:36 UTC</t>
  </si>
  <si>
    <t>03/27/2023 at 02:34:40 UTC</t>
  </si>
  <si>
    <t>04/24/2024 at 18:27:07 UTC</t>
  </si>
  <si>
    <t>06/21/2024 at 02:48:48 UTC</t>
  </si>
  <si>
    <t>02/16/2024 at 17:19:44 UTC</t>
  </si>
  <si>
    <t>12/13/2024 at 19:36:23 UTC</t>
  </si>
  <si>
    <t>09/25/2024 at 01:50:24 UTC</t>
  </si>
  <si>
    <t>06/05/2020 at 00:36:59 UTC</t>
  </si>
  <si>
    <t>12/02/2024 at 22:22:17 UTC</t>
  </si>
  <si>
    <t>01/02/2025 at 19:25:02 UTC</t>
  </si>
  <si>
    <t>08/14/2024 at 18:01:43 UTC</t>
  </si>
  <si>
    <t>12/12/2023 at 14:27:56 UTC</t>
  </si>
  <si>
    <t>10/23/2024 at 01:31:24 UTC</t>
  </si>
  <si>
    <t>12/16/2024 at 20:45:52 UTC</t>
  </si>
  <si>
    <t>10/16/2024 at 12:38:14 UTC</t>
  </si>
  <si>
    <t>06/07/2024 at 18:37:46 UTC</t>
  </si>
  <si>
    <t>12/07/2023 at 18:12:24 UTC</t>
  </si>
  <si>
    <t>07/29/2024 at 14:48:40 UTC</t>
  </si>
  <si>
    <t>06/22/2020 at 16:42:53 UTC</t>
  </si>
  <si>
    <t>07/19/2024 at 16:34:00 UTC</t>
  </si>
  <si>
    <t>04/12/2022 at 00:57:23 UTC</t>
  </si>
  <si>
    <t>03/25/2024 at 16:46:23 UTC</t>
  </si>
  <si>
    <t>01/22/2020 at 12:47:09 UTC</t>
  </si>
  <si>
    <t>04/12/2022 at 00:57:22 UTC</t>
  </si>
  <si>
    <t>03/30/2023 at 19:17:51 UTC</t>
  </si>
  <si>
    <t>Dell</t>
  </si>
  <si>
    <t>02/16/2024 at 17:19:43 UTC</t>
  </si>
  <si>
    <t>Bucher + Suter</t>
  </si>
  <si>
    <t>07/10/2024 at 12:15:39 UTC</t>
  </si>
  <si>
    <t>12/09/2022 at 20:10:52 UTC</t>
  </si>
  <si>
    <t>06/05/2024 at 12:50:30 UTC</t>
  </si>
  <si>
    <t>02/23/2024 at 14:30:54 UTC</t>
  </si>
  <si>
    <t>04/26/2019 at 10:47:29 UTC</t>
  </si>
  <si>
    <t>10/29/2024 at 19:18:12 UTC</t>
  </si>
  <si>
    <t>05/10/2023 at 14:11:55 UTC</t>
  </si>
  <si>
    <t>03/12/2019 at 19:53:11 UTC</t>
  </si>
  <si>
    <t>01/25/2024 at 23:26:33 UTC</t>
  </si>
  <si>
    <t>02/09/2023 at 03:34:23 UTC</t>
  </si>
  <si>
    <t>06/02/2022 at 17:28:07 UTC</t>
  </si>
  <si>
    <t>03/13/2023 at 16:47:56 UTC</t>
  </si>
  <si>
    <t>04/28/2023 at 15:48:07 UTC</t>
  </si>
  <si>
    <t>05/29/2020 at 14:31:55 UTC</t>
  </si>
  <si>
    <t>01/06/2020 at 17:14:38 UTC</t>
  </si>
  <si>
    <t>12/22/2023 at 20:35:46 UTC</t>
  </si>
  <si>
    <t>04/24/2024 at 18:27:14 UTC</t>
  </si>
  <si>
    <t>08/29/2022 at 15:29:22 UTC</t>
  </si>
  <si>
    <t>12/27/2024 at 23:58:34 UTC</t>
  </si>
  <si>
    <t>03/07/2024 at 02:26:06 UTC</t>
  </si>
  <si>
    <t>11/14/2024 at 22:59:50 UTC</t>
  </si>
  <si>
    <t>04/15/2024 at 15:52:23 UTC</t>
  </si>
  <si>
    <t>04/01/2024 at 19:29:55 UTC</t>
  </si>
  <si>
    <t>11/27/2023 at 17:22:44 UTC</t>
  </si>
  <si>
    <t>04/10/2024 at 17:17:10 UTC</t>
  </si>
  <si>
    <t>10/16/2024 at 13:10:15 UTC</t>
  </si>
  <si>
    <t>09/14/2022 at 19:24:09 UTC</t>
  </si>
  <si>
    <t>09/26/2024 at 17:51:08 UTC</t>
  </si>
  <si>
    <t>12/20/2023 at 18:57:47 UTC</t>
  </si>
  <si>
    <t>11/15/2023 at 19:03:07 UTC</t>
  </si>
  <si>
    <t>05/01/2024 at 19:32:13 UTC</t>
  </si>
  <si>
    <t>12/10/2024 at 18:08:26 UTC</t>
  </si>
  <si>
    <t>05/09/2024 at 19:05:35 UTC</t>
  </si>
  <si>
    <t>12/27/2024 at 23:58:33 UTC</t>
  </si>
  <si>
    <t>01/07/2025 at 01:25:04 UTC</t>
  </si>
  <si>
    <t>01/25/2024 at 01:34:20 UTC</t>
  </si>
  <si>
    <t>03/04/2021 at 13:01:37 UTC</t>
  </si>
  <si>
    <t>10/13/2023 at 18:32:48 UTC</t>
  </si>
  <si>
    <t>09/30/2022 at 16:17:23 UTC</t>
  </si>
  <si>
    <t>Adobe</t>
  </si>
  <si>
    <t>01/03/2023 at 08:08:41 UTC</t>
  </si>
  <si>
    <t>11/19/2024 at 12:23:24 UTC</t>
  </si>
  <si>
    <t>02/03/2022 at 16:22:10 UTC</t>
  </si>
  <si>
    <t>08/28/2024 at 17:43:16 UTC</t>
  </si>
  <si>
    <t>05/03/2023 at 16:52:54 UTC</t>
  </si>
  <si>
    <t>02/23/2024 at 14:30:43 UTC</t>
  </si>
  <si>
    <t>01/11/2024 at 17:00:39 UTC</t>
  </si>
  <si>
    <t>09/21/2022 at 02:04:01 UTC</t>
  </si>
  <si>
    <t>08/29/2024 at 15:54:47 UTC</t>
  </si>
  <si>
    <t>01/05/2023 at 01:51:00 UTC</t>
  </si>
  <si>
    <t>04/23/2024 at 16:39:02 UTC</t>
  </si>
  <si>
    <t>06/07/2022 at 16:28:53 UTC</t>
  </si>
  <si>
    <t>10/30/2024 at 15:25:00 UTC</t>
  </si>
  <si>
    <t>04/17/2023 at 16:02:55 UTC</t>
  </si>
  <si>
    <t>09/19/2024 at 01:09:37 UTC</t>
  </si>
  <si>
    <t>12/10/2022 at 01:14:32 UTC</t>
  </si>
  <si>
    <t>11/08/2024 at 02:03:14 UTC</t>
  </si>
  <si>
    <t>02/03/2021 at 13:10:02 UTC</t>
  </si>
  <si>
    <t>11/21/2023 at 14:56:59 UTC</t>
  </si>
  <si>
    <t>02/13/2023 at 18:23:26 UTC</t>
  </si>
  <si>
    <t>03/13/2023 at 16:47:53 UTC</t>
  </si>
  <si>
    <t>11/29/2024 at 17:31:35 UTC</t>
  </si>
  <si>
    <t>McAfee</t>
  </si>
  <si>
    <t>06/22/2020 at 13:47:20 UTC</t>
  </si>
  <si>
    <t>06/11/2024 at 16:45:47 UTC</t>
  </si>
  <si>
    <t>Oracle</t>
  </si>
  <si>
    <t>11/06/2023 at 20:27:17 UTC</t>
  </si>
  <si>
    <t>09/29/2023 at 18:28:12 UTC</t>
  </si>
  <si>
    <t>03/27/2023 at 15:43:18 UTC</t>
  </si>
  <si>
    <t>09/21/2022 at 02:03:48 UTC</t>
  </si>
  <si>
    <t>11/21/2024 at 23:32:34 UTC</t>
  </si>
  <si>
    <t>Witivio</t>
  </si>
  <si>
    <t>09/17/2024 at 16:21:51 UTC</t>
  </si>
  <si>
    <t>12/20/2023 at 19:06:11 UTC</t>
  </si>
  <si>
    <t>04/11/2023 at 02:19:05 UTC</t>
  </si>
  <si>
    <t>11/14/2022 at 17:43:11 UTC</t>
  </si>
  <si>
    <t>11/20/2024 at 14:40:31 UTC</t>
  </si>
  <si>
    <t>03/27/2023 at 02:34:44 UTC</t>
  </si>
  <si>
    <t>11/28/2022 at 18:09:19 UTC</t>
  </si>
  <si>
    <t>07/19/2024 at 16:33:49 UTC</t>
  </si>
  <si>
    <t>05/08/2019 at 16:14:17 UTC</t>
  </si>
  <si>
    <t>08/23/2019 at 14:08:33 UTC</t>
  </si>
  <si>
    <t>11/01/2021 at 18:06:32 UTC</t>
  </si>
  <si>
    <t>05/12/2020 at 08:15:21 UTC</t>
  </si>
  <si>
    <t>12/26/2023 at 22:06:18 UTC</t>
  </si>
  <si>
    <t>12/31/2020 at 08:18:01 UTC</t>
  </si>
  <si>
    <t>03/11/2019 at 07:42:10 UTC</t>
  </si>
  <si>
    <t>03/27/2023 at 02:34:45 UTC</t>
  </si>
  <si>
    <t>01/09/2024 at 23:55:41 UTC</t>
  </si>
  <si>
    <t>04/04/2023 at 02:07:13 UTC</t>
  </si>
  <si>
    <t>01/11/2024 at 17:00:41 UTC</t>
  </si>
  <si>
    <t>09/23/2024 at 17:31:22 UTC</t>
  </si>
  <si>
    <t>12/04/2018 at 13:07:41 UTC</t>
  </si>
  <si>
    <t>Flexera Software</t>
  </si>
  <si>
    <t>05/23/2024 at 16:18:51 UTC</t>
  </si>
  <si>
    <t>LexisNexis</t>
  </si>
  <si>
    <t>12/12/2023 at 12:58:55 UTC</t>
  </si>
  <si>
    <t>07/01/2024 at 15:53:17 UTC</t>
  </si>
  <si>
    <t>10/30/2024 at 15:24:39 UTC</t>
  </si>
  <si>
    <t>03/08/2023 at 04:43:38 UTC</t>
  </si>
  <si>
    <t>Grammarly, Inc.</t>
  </si>
  <si>
    <t>12/18/2023 at 22:10:04 UTC</t>
  </si>
  <si>
    <t>11/20/2024 at 14:40:34 UTC</t>
  </si>
  <si>
    <t>06/17/2021 at 21:28:30 UTC</t>
  </si>
  <si>
    <t>07/29/2024 at 14:48:46 UTC</t>
  </si>
  <si>
    <t>12/07/2022 at 20:44:55 UTC</t>
  </si>
  <si>
    <t>Radacad</t>
  </si>
  <si>
    <t>01/30/2024 at 01:11:03 UTC</t>
  </si>
  <si>
    <t>12/12/2023 at 12:32:48 UTC</t>
  </si>
  <si>
    <t>04/15/2024 at 12:20:41 UTC</t>
  </si>
  <si>
    <t>11/20/2024 at 02:55:57 UTC</t>
  </si>
  <si>
    <t>09/25/2024 at 01:50:23 UTC</t>
  </si>
  <si>
    <t>SAS</t>
  </si>
  <si>
    <t>04/01/2024 at 02:11:16 UTC</t>
  </si>
  <si>
    <t>Dell EMC</t>
  </si>
  <si>
    <t>04/22/2024 at 17:37:33 UTC</t>
  </si>
  <si>
    <t>ASP.NET</t>
  </si>
  <si>
    <t>08/26/2024 at 15:09:17 UTC</t>
  </si>
  <si>
    <t>Topaz Systems</t>
  </si>
  <si>
    <t>06/21/2024 at 22:00:48 UTC</t>
  </si>
  <si>
    <t>09/29/2023 at 18:28:11 UTC</t>
  </si>
  <si>
    <t>08/12/2024 at 15:25:16 UTC</t>
  </si>
  <si>
    <t>03/16/2023 at 03:46:41 UTC</t>
  </si>
  <si>
    <t>Feith Systems and Software, Inc.</t>
  </si>
  <si>
    <t>09/26/2024 at 17:51:24 UTC</t>
  </si>
  <si>
    <t>06/18/2024 at 16:24:53 UTC</t>
  </si>
  <si>
    <t>11/26/2022 at 00:53:35 UTC</t>
  </si>
  <si>
    <t>09/28/2022 at 01:10:08 UTC</t>
  </si>
  <si>
    <t>02/22/2023 at 19:05:53 UTC</t>
  </si>
  <si>
    <t>02/13/2020 at 16:11:24 UTC</t>
  </si>
  <si>
    <t>09/26/2024 at 17:51:09 UTC</t>
  </si>
  <si>
    <t>OpsHub</t>
  </si>
  <si>
    <t>01/30/2024 at 01:10:09 UTC</t>
  </si>
  <si>
    <t>08/28/2024 at 17:43:15 UTC</t>
  </si>
  <si>
    <t>SAP</t>
  </si>
  <si>
    <t>02/14/2024 at 03:29:45 UTC</t>
  </si>
  <si>
    <t>04/27/2023 at 17:17:45 UTC</t>
  </si>
  <si>
    <t>Cochlear</t>
  </si>
  <si>
    <t>01/17/2024 at 19:24:39 UTC</t>
  </si>
  <si>
    <t>04/16/2024 at 15:23:34 UTC</t>
  </si>
  <si>
    <t>07/09/2019 at 07:53:40 UTC</t>
  </si>
  <si>
    <t>Blackfish Software, LLC.</t>
  </si>
  <si>
    <t>02/15/2024 at 20:11:08 UTC</t>
  </si>
  <si>
    <t>11/14/2024 at 22:59:49 UTC</t>
  </si>
  <si>
    <t>01/06/2025 at 16:59:03 UTC</t>
  </si>
  <si>
    <t>ATAY LLC</t>
  </si>
  <si>
    <t>07/10/2020 at 14:34:12 UTC</t>
  </si>
  <si>
    <t>11/07/2024 at 19:09:18 UTC</t>
  </si>
  <si>
    <t>09/26/2024 at 17:51:30 UTC</t>
  </si>
  <si>
    <t>07/01/2024 at 15:53:19 UTC</t>
  </si>
  <si>
    <t>11/09/2023 at 19:24:11 UTC</t>
  </si>
  <si>
    <t>08/08/2019 at 07:00:51 UTC</t>
  </si>
  <si>
    <t>06/27/2019 at 12:47:35 UTC</t>
  </si>
  <si>
    <t>12/10/2022 at 01:14:33 UTC</t>
  </si>
  <si>
    <t>12/10/2024 at 21:43:12 UTC</t>
  </si>
  <si>
    <t>10/16/2024 at 21:31:26 UTC</t>
  </si>
  <si>
    <t>08/21/2019 at 07:10:53 UTC</t>
  </si>
  <si>
    <t>07/19/2024 at 02:54:50 UTC</t>
  </si>
  <si>
    <t>Avery</t>
  </si>
  <si>
    <t>10/05/2020 at 22:41:34 UTC</t>
  </si>
  <si>
    <t>Add-in Express</t>
  </si>
  <si>
    <t>07/23/2019 at 13:05:28 UTC</t>
  </si>
  <si>
    <t>International Business Machines (IBM)</t>
  </si>
  <si>
    <t>01/17/2020 at 13:34:13 UTC</t>
  </si>
  <si>
    <t>SCLogic</t>
  </si>
  <si>
    <t>11/21/2023 at 14:57:00 UTC</t>
  </si>
  <si>
    <t>MasterControl</t>
  </si>
  <si>
    <t>07/23/2019 at 12:07:43 UTC</t>
  </si>
  <si>
    <t>Planview</t>
  </si>
  <si>
    <t>07/03/2024 at 19:34:09 UTC</t>
  </si>
  <si>
    <t>Telerik</t>
  </si>
  <si>
    <t>06/26/2024 at 16:14:52 UTC</t>
  </si>
  <si>
    <t>Ecliptic Technologies, Inc.</t>
  </si>
  <si>
    <t>02/02/2024 at 03:13:43 UTC</t>
  </si>
  <si>
    <t>07/29/2019 at 07:24:23 UTC</t>
  </si>
  <si>
    <t>05/09/2024 at 19:08:22 UTC</t>
  </si>
  <si>
    <t>ContactGenie</t>
  </si>
  <si>
    <t>08/21/2020 at 13:26:18 UTC</t>
  </si>
  <si>
    <t>12/26/2023 at 22:06:19 UTC</t>
  </si>
  <si>
    <t>08/19/2022 at 17:37:41 UTC</t>
  </si>
  <si>
    <t>06/30/2020 at 15:38:23 UTC</t>
  </si>
  <si>
    <t>05/11/2022 at 02:40:53 UTC</t>
  </si>
  <si>
    <t>Autocene</t>
  </si>
  <si>
    <t>09/28/2020 at 10:28:10 UTC</t>
  </si>
  <si>
    <t>06/03/2024 at 19:06:09 UTC</t>
  </si>
  <si>
    <t>12/04/2018 at 13:07:47 UTC</t>
  </si>
  <si>
    <t>12/19/2018 at 07:26:20 UTC</t>
  </si>
  <si>
    <t>03/27/2023 at 15:43:19 UTC</t>
  </si>
  <si>
    <t>04/22/2022 at 01:55:32 UTC</t>
  </si>
  <si>
    <t>08/27/2019 at 14:36:00 UTC</t>
  </si>
  <si>
    <t>Onenotegem</t>
  </si>
  <si>
    <t>12/12/2023 at 12:52:42 UTC</t>
  </si>
  <si>
    <t>04/10/2023 at 02:59:43 UTC</t>
  </si>
  <si>
    <t>09/12/2024 at 16:58:26 UTC</t>
  </si>
  <si>
    <t>04/04/2023 at 02:07:18 UTC</t>
  </si>
  <si>
    <t>Tracker Software</t>
  </si>
  <si>
    <t>06/02/2020 at 12:49:33 UTC</t>
  </si>
  <si>
    <t>Dan Risacher</t>
  </si>
  <si>
    <t>07/10/2024 at 19:17:21 UTC</t>
  </si>
  <si>
    <t>04/30/2020 at 10:31:35 UTC</t>
  </si>
  <si>
    <t>11/20/2020 at 00:55:56 UTC</t>
  </si>
  <si>
    <t>02/22/2023 at 19:05:56 UTC</t>
  </si>
  <si>
    <t>03/24/2020 at 14:52:04 UTC</t>
  </si>
  <si>
    <t>Ablebits</t>
  </si>
  <si>
    <t>01/06/2023 at 00:34:13 UTC</t>
  </si>
  <si>
    <t>02/14/2020 at 15:05:09 UTC</t>
  </si>
  <si>
    <t>10/30/2024 at 15:24:58 UTC</t>
  </si>
  <si>
    <t>10/23/2018 at 22:25:20 UTC</t>
  </si>
  <si>
    <t>03/05/2019 at 08:37:41 UTC</t>
  </si>
  <si>
    <t>05/20/2024 at 17:25:07 UTC</t>
  </si>
  <si>
    <t>01/06/2019 at 21:38:33 UTC</t>
  </si>
  <si>
    <t>01/11/2024 at 19:18:13 UTC</t>
  </si>
  <si>
    <t>11/29/2024 at 20:47:36 UTC</t>
  </si>
  <si>
    <t>11/26/2024 at 15:08:05 UTC</t>
  </si>
  <si>
    <t>07/01/2024 at 15:53:05 UTC</t>
  </si>
  <si>
    <t>02/06/2024 at 02:01:09 UTC</t>
  </si>
  <si>
    <t>05/19/2020 at 12:47:23 UTC</t>
  </si>
  <si>
    <t>02/15/2024 at 23:27:38 UTC</t>
  </si>
  <si>
    <t>SoftChoice</t>
  </si>
  <si>
    <t>01/24/2024 at 03:40:29 UTC</t>
  </si>
  <si>
    <t>11/27/2024 at 00:54:36 UTC</t>
  </si>
  <si>
    <t>07/15/2024 at 19:06:08 UTC</t>
  </si>
  <si>
    <t>08/19/2024 at 14:47:04 UTC</t>
  </si>
  <si>
    <t>Document Storage Systems, Inc (DSS)</t>
  </si>
  <si>
    <t>06/03/2024 at 16:54:59 UTC</t>
  </si>
  <si>
    <t>12/12/2023 at 12:58:56 UTC</t>
  </si>
  <si>
    <t>ProQuest LLC</t>
  </si>
  <si>
    <t>09/22/2023 at 01:42:26 UTC</t>
  </si>
  <si>
    <t>12/10/2024 at 18:07:37 UTC</t>
  </si>
  <si>
    <t>01/05/2023 at 01:50:59 UTC</t>
  </si>
  <si>
    <t>04/23/2024 at 15:16:17 UTC</t>
  </si>
  <si>
    <t>Hewlett Packard Enterprise</t>
  </si>
  <si>
    <t>12/10/2024 at 18:07:42 UTC</t>
  </si>
  <si>
    <t>IDville</t>
  </si>
  <si>
    <t>11/15/2024 at 21:35:10 UTC</t>
  </si>
  <si>
    <t>04/01/2022 at 21:14:19 UTC</t>
  </si>
  <si>
    <t>10/10/2022 at 19:58:52 UTC</t>
  </si>
  <si>
    <t>02/16/2024 at 17:19:42 UTC</t>
  </si>
  <si>
    <t>Earnie Boyd</t>
  </si>
  <si>
    <t>10/06/2023 at 02:26:11 UTC</t>
  </si>
  <si>
    <t>Netaphor Software, Inc.</t>
  </si>
  <si>
    <t>12/11/2023 at 20:10:31 UTC</t>
  </si>
  <si>
    <t>North52</t>
  </si>
  <si>
    <t>05/13/2024 at 16:17:14 UTC</t>
  </si>
  <si>
    <t>Precisely</t>
  </si>
  <si>
    <t>10/14/2024 at 01:23:27 UTC</t>
  </si>
  <si>
    <t>02/16/2024 at 17:19:46 UTC</t>
  </si>
  <si>
    <t>Trane</t>
  </si>
  <si>
    <t>06/21/2024 at 22:00:49 UTC</t>
  </si>
  <si>
    <t>Mads Kristensen</t>
  </si>
  <si>
    <t>06/18/2024 at 16:24:56 UTC</t>
  </si>
  <si>
    <t>3Dconnexion</t>
  </si>
  <si>
    <t>05/23/2024 at 16:18:52 UTC</t>
  </si>
  <si>
    <t>HID Global</t>
  </si>
  <si>
    <t>07/01/2024 at 14:13:55 UTC</t>
  </si>
  <si>
    <t>Alteryx</t>
  </si>
  <si>
    <t>01/11/2023 at 18:22:28 UTC</t>
  </si>
  <si>
    <t>07/19/2024 at 02:54:52 UTC</t>
  </si>
  <si>
    <t>AnyMeeting</t>
  </si>
  <si>
    <t>02/22/2021 at 21:50:04 UTC</t>
  </si>
  <si>
    <t>APLNow</t>
  </si>
  <si>
    <t>06/18/2024 at 21:35:38 UTC</t>
  </si>
  <si>
    <t>09/28/2022 at 01:40:48 UTC</t>
  </si>
  <si>
    <t>11/02/2022 at 04:10:25 UTC</t>
  </si>
  <si>
    <t>11/20/2024 at 14:40:26 UTC</t>
  </si>
  <si>
    <t>05/13/2024 at 16:17:11 UTC</t>
  </si>
  <si>
    <t>Encryptomatic, LLC.</t>
  </si>
  <si>
    <t>Elekta</t>
  </si>
  <si>
    <t>02/02/2024 at 03:08:00 UTC</t>
  </si>
  <si>
    <t>Node.js Foundation</t>
  </si>
  <si>
    <t>12/19/2024 at 22:32:12 UTC</t>
  </si>
  <si>
    <t>Nuance</t>
  </si>
  <si>
    <t>04/22/2024 at 17:37:29 UTC</t>
  </si>
  <si>
    <t>QlikTech</t>
  </si>
  <si>
    <t>SonarSource</t>
  </si>
  <si>
    <t>10/31/2023 at 15:57:00 UTC</t>
  </si>
  <si>
    <t>Broadcom</t>
  </si>
  <si>
    <t>08/26/2022 at 00:53:17 UTC</t>
  </si>
  <si>
    <t>Syncfusion</t>
  </si>
  <si>
    <t>11/10/2022 at 22:23:05 UTC</t>
  </si>
  <si>
    <t>3D Immersive Collaboration Consulting</t>
  </si>
  <si>
    <t>10/21/2022 at 23:34:13 UTC</t>
  </si>
  <si>
    <t>Cisco Systems, Inc</t>
  </si>
  <si>
    <t>07/12/2019 at 13:42:15 UTC</t>
  </si>
  <si>
    <t>Mesa Labs</t>
  </si>
  <si>
    <t>10/05/2022 at 00:48:49 UTC</t>
  </si>
  <si>
    <t>Quest</t>
  </si>
  <si>
    <t>03/08/2023 at 04:43:36 UTC</t>
  </si>
  <si>
    <t>09/14/2022 at 19:24:06 UTC</t>
  </si>
  <si>
    <t>12/02/2024 at 22:51:14 UTC</t>
  </si>
  <si>
    <t>S-CORP</t>
  </si>
  <si>
    <t>11/06/2024 at 02:07:29 UTC</t>
  </si>
  <si>
    <t>ApexSQL LLC</t>
  </si>
  <si>
    <t>10/30/2024 at 15:24:40 UTC</t>
  </si>
  <si>
    <t>01/30/2024 at 01:07:56 UTC</t>
  </si>
  <si>
    <t>Articulate Global, Inc.</t>
  </si>
  <si>
    <t>03/18/2024 at 23:34:32 UTC</t>
  </si>
  <si>
    <t>Aspose</t>
  </si>
  <si>
    <t>05/13/2024 at 16:17:15 UTC</t>
  </si>
  <si>
    <t>Agilent Technologies</t>
  </si>
  <si>
    <t>07/24/2024 at 04:25:10 UTC</t>
  </si>
  <si>
    <t>CommonLook</t>
  </si>
  <si>
    <t>09/17/2024 at 16:21:54 UTC</t>
  </si>
  <si>
    <t>DAX Studio</t>
  </si>
  <si>
    <t>10/31/2024 at 16:35:37 UTC</t>
  </si>
  <si>
    <t>forProject Technology, Inc.</t>
  </si>
  <si>
    <t>12/20/2024 at 21:29:11 UTC</t>
  </si>
  <si>
    <t>NuGet</t>
  </si>
  <si>
    <t>ExpanDrive, Inc.</t>
  </si>
  <si>
    <t>12/09/2024 at 16:13:33 UTC</t>
  </si>
  <si>
    <t>Information Mapping</t>
  </si>
  <si>
    <t>04/19/2024 at 03:49:19 UTC</t>
  </si>
  <si>
    <t>ePadLink</t>
  </si>
  <si>
    <t>07/01/2024 at 15:53:09 UTC</t>
  </si>
  <si>
    <t>ExtendOffice</t>
  </si>
  <si>
    <t>Brunner BI (Business Intelligence)</t>
  </si>
  <si>
    <t>11/07/2024 at 19:30:47 UTC</t>
  </si>
  <si>
    <t>MGateway Ltd.</t>
  </si>
  <si>
    <t>12/13/2024 at 19:36:27 UTC</t>
  </si>
  <si>
    <t>NetZoom</t>
  </si>
  <si>
    <t>11/16/2023 at 20:31:12 UTC</t>
  </si>
  <si>
    <t>NHibernate</t>
  </si>
  <si>
    <t>04/18/2024 at 18:19:34 UTC</t>
  </si>
  <si>
    <t>Nikon</t>
  </si>
  <si>
    <t>02/12/2024 at 16:52:02 UTC</t>
  </si>
  <si>
    <t>Probitas</t>
  </si>
  <si>
    <t>11/08/2024 at 02:03:29 UTC</t>
  </si>
  <si>
    <t>Office Timeline</t>
  </si>
  <si>
    <t>09/12/2024 at 16:58:27 UTC</t>
  </si>
  <si>
    <t>09/16/2024 at 00:52:52 UTC</t>
  </si>
  <si>
    <t>Intelligent Editing Ltd.</t>
  </si>
  <si>
    <t>07/19/2024 at 16:33:58 UTC</t>
  </si>
  <si>
    <t>Pexip</t>
  </si>
  <si>
    <t>03/07/2024 at 02:27:07 UTC</t>
  </si>
  <si>
    <t>MIT (Mass. Inst. Tech.)</t>
  </si>
  <si>
    <t>10/14/2024 at 01:23:32 UTC</t>
  </si>
  <si>
    <t>Echo360</t>
  </si>
  <si>
    <t>06/03/2024 at 16:54:54 UTC</t>
  </si>
  <si>
    <t>Poll Everywhere</t>
  </si>
  <si>
    <t>07/24/2024 at 04:25:08 UTC</t>
  </si>
  <si>
    <t>Nihon Kohden</t>
  </si>
  <si>
    <t>01/04/2024 at 03:41:36 UTC</t>
  </si>
  <si>
    <t>Mandeeps</t>
  </si>
  <si>
    <t>10/04/2024 at 17:13:13 UTC</t>
  </si>
  <si>
    <t>Alpha Serve</t>
  </si>
  <si>
    <t>11/06/2024 at 02:07:50 UTC</t>
  </si>
  <si>
    <t>DevScope</t>
  </si>
  <si>
    <t>09/16/2022 at 19:27:20 UTC</t>
  </si>
  <si>
    <t>Sperry Software</t>
  </si>
  <si>
    <t>11/15/2024 at 21:35:11 UTC</t>
  </si>
  <si>
    <t>ProModel Corporation</t>
  </si>
  <si>
    <t>02/15/2024 at 23:27:37 UTC</t>
  </si>
  <si>
    <t>KnowWare International</t>
  </si>
  <si>
    <t>03/13/2024 at 17:16:58 UTC</t>
  </si>
  <si>
    <t>Fluke Biomedical</t>
  </si>
  <si>
    <t>07/15/2024 at 19:06:16 UTC</t>
  </si>
  <si>
    <t>Abbott</t>
  </si>
  <si>
    <t>08/27/2024 at 02:03:04 UTC</t>
  </si>
  <si>
    <t>SigmaXL</t>
  </si>
  <si>
    <t>11/29/2024 at 20:47:29 UTC</t>
  </si>
  <si>
    <t>SolarWinds</t>
  </si>
  <si>
    <t>02/15/2024 at 23:04:22 UTC</t>
  </si>
  <si>
    <t>SigmaZone</t>
  </si>
  <si>
    <t>11/02/2023 at 18:48:01 UTC</t>
  </si>
  <si>
    <t>StrawberryPerl</t>
  </si>
  <si>
    <t>08/27/2024 at 02:03:02 UTC</t>
  </si>
  <si>
    <t>RedGate</t>
  </si>
  <si>
    <t>12/21/2023 at 21:23:20 UTC</t>
  </si>
  <si>
    <t>Red Gate</t>
  </si>
  <si>
    <t>11/28/2023 at 19:44:28 UTC</t>
  </si>
  <si>
    <t>12/26/2023 at 22:06:17 UTC</t>
  </si>
  <si>
    <t>10/25/2024 at 15:59:13 UTC</t>
  </si>
  <si>
    <t>12/21/2023 at 21:23:21 UTC</t>
  </si>
  <si>
    <t>Progress</t>
  </si>
  <si>
    <t>01/11/2024 at 03:03:47 UTC</t>
  </si>
  <si>
    <t>The Prometheus Group</t>
  </si>
  <si>
    <t>05/08/2024 at 13:48:03 UTC</t>
  </si>
  <si>
    <t>10/20/2022 at 15:01:50 UTC</t>
  </si>
  <si>
    <t>UiPATH</t>
  </si>
  <si>
    <t>11/06/2023 at 20:27:10 UTC</t>
  </si>
  <si>
    <t>Big Bang LLC</t>
  </si>
  <si>
    <t>04/15/2024 at 16:30:17 UTC</t>
  </si>
  <si>
    <t>Ventana Systems, Inc.</t>
  </si>
  <si>
    <t>10/05/2023 at 03:01:02 UTC</t>
  </si>
  <si>
    <t>07/02/2024 at 20:03:31 UTC</t>
  </si>
  <si>
    <t>11/14/2022 at 17:41:48 UTC</t>
  </si>
  <si>
    <t>08/30/2024 at 16:19:30 UTC</t>
  </si>
  <si>
    <t>03/13/2023 at 16:47:52 UTC</t>
  </si>
  <si>
    <t>02/09/2021 at 20:35:16 UTC</t>
  </si>
  <si>
    <t>03/20/2023 at 16:29:08 UTC</t>
  </si>
  <si>
    <t>04/16/2024 at 15:43:01 UTC</t>
  </si>
  <si>
    <t>10/25/2024 at 15:59:07 UTC</t>
  </si>
  <si>
    <t>08/31/2020 at 15:04:06 UTC</t>
  </si>
  <si>
    <t>01/14/2021 at 11:58:58 UTC</t>
  </si>
  <si>
    <t>02/12/2024 at 20:36:22 UTC</t>
  </si>
  <si>
    <t>05/23/2024 at 01:20:07 UTC</t>
  </si>
  <si>
    <t>01/18/2024 at 02:50:27 UTC</t>
  </si>
  <si>
    <t>04/19/2024 at 03:49:18 UTC</t>
  </si>
  <si>
    <t>IEability</t>
  </si>
  <si>
    <t>12/02/2022 at 03:50:56 UTC</t>
  </si>
  <si>
    <t>12/04/2018 at 13:07:45 UTC</t>
  </si>
  <si>
    <t>NetApp</t>
  </si>
  <si>
    <t>05/14/2024 at 01:26:18 UTC</t>
  </si>
  <si>
    <t>02/05/2021 at 12:43:28 UTC</t>
  </si>
  <si>
    <t>04/16/2019 at 08:02:54 UTC</t>
  </si>
  <si>
    <t>04/16/2019 at 08:02:55 UTC</t>
  </si>
  <si>
    <t>07/15/2024 at 19:06:13 UTC</t>
  </si>
  <si>
    <t>Fujitsu</t>
  </si>
  <si>
    <t>05/19/2021 at 13:03:16 UTC</t>
  </si>
  <si>
    <t>12/21/2023 at 21:23:19 UTC</t>
  </si>
  <si>
    <t>03/02/2020 at 15:14:58 UTC</t>
  </si>
  <si>
    <t>SSI Tools</t>
  </si>
  <si>
    <t>11/06/2023 at 20:27:09 UTC</t>
  </si>
  <si>
    <t>06/30/2020 at 16:04:56 UTC</t>
  </si>
  <si>
    <t>05/20/2024 at 17:25:06 UTC</t>
  </si>
  <si>
    <t>11/04/2024 at 17:12:05 UTC</t>
  </si>
  <si>
    <t>11/25/2020 at 16:34:40 UTC</t>
  </si>
  <si>
    <t>03/01/2024 at 02:18:27 UTC</t>
  </si>
  <si>
    <t>03/31/2023 at 18:01:32 UTC</t>
  </si>
  <si>
    <t>03/16/2020 at 22:27:34 UTC</t>
  </si>
  <si>
    <t>01/07/2025 at 01:25:02 UTC</t>
  </si>
  <si>
    <t>11/14/2024 at 18:51:20 UTC</t>
  </si>
  <si>
    <t>NVIDIA</t>
  </si>
  <si>
    <t>07/30/2021 at 15:17:29 UTC</t>
  </si>
  <si>
    <t>Natus Medical Inc.</t>
  </si>
  <si>
    <t>11/25/2024 at 18:01:47 UTC</t>
  </si>
  <si>
    <t>02/13/2020 at 16:11:23 UTC</t>
  </si>
  <si>
    <t>11/26/2024 at 15:08:06 UTC</t>
  </si>
  <si>
    <t>05/31/2019 at 11:11:34 UTC</t>
  </si>
  <si>
    <t>01/08/2025 at 18:20:25 UTC</t>
  </si>
  <si>
    <t>03/29/2024 at 02:26:04 UTC</t>
  </si>
  <si>
    <t>Ekahau, Inc.</t>
  </si>
  <si>
    <t>09/11/2024 at 17:28:15 UTC</t>
  </si>
  <si>
    <t>IBM</t>
  </si>
  <si>
    <t>03/08/2019 at 12:32:16 UTC</t>
  </si>
  <si>
    <t>05/08/2019 at 16:14:13 UTC</t>
  </si>
  <si>
    <t>10/28/2024 at 16:28:25 UTC</t>
  </si>
  <si>
    <t>11/23/2022 at 22:12:31 UTC</t>
  </si>
  <si>
    <t>12/19/2024 at 15:06:51 UTC</t>
  </si>
  <si>
    <t>12/03/2020 at 14:11:33 UTC</t>
  </si>
  <si>
    <t>08/29/2019 at 15:18:00 UTC</t>
  </si>
  <si>
    <t>RICOH</t>
  </si>
  <si>
    <t>03/13/2024 at 17:18:05 UTC</t>
  </si>
  <si>
    <t>04/01/2024 at 02:09:09 UTC</t>
  </si>
  <si>
    <t>Citrix</t>
  </si>
  <si>
    <t>01/03/2024 at 04:39:48 UTC</t>
  </si>
  <si>
    <t>05/16/2024 at 15:53:25 UTC</t>
  </si>
  <si>
    <t>Pivotal</t>
  </si>
  <si>
    <t>10/13/2023 at 18:32:42 UTC</t>
  </si>
  <si>
    <t>Code Sector</t>
  </si>
  <si>
    <t>03/13/2023 at 16:48:03 UTC</t>
  </si>
  <si>
    <t>Webtrends</t>
  </si>
  <si>
    <t>08/31/2022 at 02:18:06 UTC</t>
  </si>
  <si>
    <t>Equisys Inc</t>
  </si>
  <si>
    <t>04/23/2024 at 16:39:03 UTC</t>
  </si>
  <si>
    <t>Zoom Video Communications</t>
  </si>
  <si>
    <t>06/18/2024 at 17:39:02 UTC</t>
  </si>
  <si>
    <t>09/19/2024 at 17:25:10 UTC</t>
  </si>
  <si>
    <t>01/17/2023 at 17:42:17 UTC</t>
  </si>
  <si>
    <t>05/06/2024 at 17:36:25 UTC</t>
  </si>
  <si>
    <t>12/13/2024 at 19:39:17 UTC</t>
  </si>
  <si>
    <t>06/18/2024 at 16:24:52 UTC</t>
  </si>
  <si>
    <t>10/10/2024 at 02:06:14 UTC</t>
  </si>
  <si>
    <t>BizFlow Corporation</t>
  </si>
  <si>
    <t>12/27/2022 at 22:03:50 UTC</t>
  </si>
  <si>
    <t>Core Services</t>
  </si>
  <si>
    <t>12/07/2018 at 10:09:35 UTC</t>
  </si>
  <si>
    <t>Meso Scale Diagnostics</t>
  </si>
  <si>
    <t>01/11/2024 at 03:03:46 UTC</t>
  </si>
  <si>
    <t>02/28/2024 at 14:33:51 UTC</t>
  </si>
  <si>
    <t>i-net software</t>
  </si>
  <si>
    <t>05/09/2023 at 03:56:11 UTC</t>
  </si>
  <si>
    <t>Eracent</t>
  </si>
  <si>
    <t>08/18/2020 at 08:54:58 UTC</t>
  </si>
  <si>
    <t>04/11/2024 at 15:53:23 UTC</t>
  </si>
  <si>
    <t>Intelligent Converters</t>
  </si>
  <si>
    <t>01/17/2023 at 17:42:16 UTC</t>
  </si>
  <si>
    <t>Qmatic, Inc.</t>
  </si>
  <si>
    <t>06/27/2019 at 12:47:46 UTC</t>
  </si>
  <si>
    <t>LOINC</t>
  </si>
  <si>
    <t>10/18/2022 at 16:18:08 UTC</t>
  </si>
  <si>
    <t>03/29/2024 at 02:26:09 UTC</t>
  </si>
  <si>
    <t>GrapeCity, Inc.</t>
  </si>
  <si>
    <t>07/07/2021 at 15:35:22 UTC</t>
  </si>
  <si>
    <t>Chris Dahlberg</t>
  </si>
  <si>
    <t>07/19/2024 at 16:34:02 UTC</t>
  </si>
  <si>
    <t>08/30/2024 at 16:19:25 UTC</t>
  </si>
  <si>
    <t>01/11/2024 at 17:00:34 UTC</t>
  </si>
  <si>
    <t>1E</t>
  </si>
  <si>
    <t>09/12/2024 at 16:25:05 UTC</t>
  </si>
  <si>
    <t>Baxter</t>
  </si>
  <si>
    <t>05/19/2021 at 08:47:50 UTC</t>
  </si>
  <si>
    <t>Adium Team</t>
  </si>
  <si>
    <t>06/11/2019 at 08:15:58 UTC</t>
  </si>
  <si>
    <t>Adxstudio</t>
  </si>
  <si>
    <t>04/16/2019 at 07:59:17 UTC</t>
  </si>
  <si>
    <t>Bert Huijben</t>
  </si>
  <si>
    <t>05/03/2023 at 16:52:52 UTC</t>
  </si>
  <si>
    <t>02/01/2024 at 03:23:44 UTC</t>
  </si>
  <si>
    <t>02/06/2024 at 02:00:59 UTC</t>
  </si>
  <si>
    <t>AP Style Book</t>
  </si>
  <si>
    <t>10/25/2024 at 15:13:47 UTC</t>
  </si>
  <si>
    <t>AstroComma</t>
  </si>
  <si>
    <t>02/05/2024 at 18:06:38 UTC</t>
  </si>
  <si>
    <t>Asure Software</t>
  </si>
  <si>
    <t>11/14/2019 at 09:44:20 UTC</t>
  </si>
  <si>
    <t>AutoHotkey Foundation</t>
  </si>
  <si>
    <t>03/27/2024 at 01:49:26 UTC</t>
  </si>
  <si>
    <t>Cocobolo Software, LLC</t>
  </si>
  <si>
    <t>08/23/2019 at 14:08:24 UTC</t>
  </si>
  <si>
    <t>NirSoft</t>
  </si>
  <si>
    <t>10/31/2024 at 16:35:49 UTC</t>
  </si>
  <si>
    <t>Centrify</t>
  </si>
  <si>
    <t>07/27/2020 at 14:42:37 UTC</t>
  </si>
  <si>
    <t>Change Healthcare</t>
  </si>
  <si>
    <t>02/27/2019 at 08:09:48 UTC</t>
  </si>
  <si>
    <t>Powder Software Inc.</t>
  </si>
  <si>
    <t>04/23/2020 at 16:11:10 UTC</t>
  </si>
  <si>
    <t>10/19/2022 at 16:51:03 UTC</t>
  </si>
  <si>
    <t>03/13/2023 at 16:47:51 UTC</t>
  </si>
  <si>
    <t>SourceForge</t>
  </si>
  <si>
    <t>01/28/2020 at 14:44:37 UTC</t>
  </si>
  <si>
    <t>Salesforce</t>
  </si>
  <si>
    <t>03/31/2023 at 18:01:29 UTC</t>
  </si>
  <si>
    <t>Trend Micro</t>
  </si>
  <si>
    <t>07/08/2019 at 13:06:05 UTC</t>
  </si>
  <si>
    <t>Databricks / Open Source</t>
  </si>
  <si>
    <t>09/19/2024 at 17:25:16 UTC</t>
  </si>
  <si>
    <t>Axway</t>
  </si>
  <si>
    <t>Sysinternals LLC</t>
  </si>
  <si>
    <t>A&amp;D Medical</t>
  </si>
  <si>
    <t>01/10/2019 at 20:35:57 UTC</t>
  </si>
  <si>
    <t>DOSBox Crew</t>
  </si>
  <si>
    <t>06/30/2020 at 15:38:21 UTC</t>
  </si>
  <si>
    <t>XrmToolBox</t>
  </si>
  <si>
    <t>DocTools</t>
  </si>
  <si>
    <t>12/06/2023 at 02:43:59 UTC</t>
  </si>
  <si>
    <t>Multi-Tech Systems, Inc.</t>
  </si>
  <si>
    <t>01/03/2024 at 04:39:56 UTC</t>
  </si>
  <si>
    <t>Marcos Meli</t>
  </si>
  <si>
    <t>12/05/2022 at 17:52:45 UTC</t>
  </si>
  <si>
    <t>CIR Systems, Inc.</t>
  </si>
  <si>
    <t>11/28/2018 at 07:50:09 UTC</t>
  </si>
  <si>
    <t>BTS Bioengineering</t>
  </si>
  <si>
    <t>09/10/2019 at 07:59:33 UTC</t>
  </si>
  <si>
    <t>Helios Software Solutions</t>
  </si>
  <si>
    <t>12/27/2024 at 23:58:35 UTC</t>
  </si>
  <si>
    <t>02/12/2024 at 20:36:44 UTC</t>
  </si>
  <si>
    <t>Hitachi</t>
  </si>
  <si>
    <t>06/06/2024 at 16:17:55 UTC</t>
  </si>
  <si>
    <t>Otometrics</t>
  </si>
  <si>
    <t>02/14/2019 at 19:06:00 UTC</t>
  </si>
  <si>
    <t>Infragistics</t>
  </si>
  <si>
    <t>04/30/2019 at 16:38:20 UTC</t>
  </si>
  <si>
    <t>The jTDS Project</t>
  </si>
  <si>
    <t>06/27/2024 at 17:09:38 UTC</t>
  </si>
  <si>
    <t>Github</t>
  </si>
  <si>
    <t>01/24/2024 at 03:40:17 UTC</t>
  </si>
  <si>
    <t>01/22/2024 at 02:13:18 UTC</t>
  </si>
  <si>
    <t>Apache Software Foundation (ASF)</t>
  </si>
  <si>
    <t>06/18/2024 at 16:24:54 UTC</t>
  </si>
  <si>
    <t>Datasmith</t>
  </si>
  <si>
    <t>01/19/2021 at 11:35:15 UTC</t>
  </si>
  <si>
    <t>MPC-HC</t>
  </si>
  <si>
    <t>02/19/2020 at 11:57:49 UTC</t>
  </si>
  <si>
    <t>Enhansoft</t>
  </si>
  <si>
    <t>06/19/2019 at 13:37:50 UTC</t>
  </si>
  <si>
    <t>Oncology Data Systems, Inc.</t>
  </si>
  <si>
    <t>Duane Edwards</t>
  </si>
  <si>
    <t>10/12/2023 at 19:34:46 UTC</t>
  </si>
  <si>
    <t>Nintex</t>
  </si>
  <si>
    <t>06/10/2024 at 15:39:07 UTC</t>
  </si>
  <si>
    <t>UL LLC</t>
  </si>
  <si>
    <t>10/03/2023 at 02:09:32 UTC</t>
  </si>
  <si>
    <t>ISO</t>
  </si>
  <si>
    <t>09/25/2024 at 01:50:26 UTC</t>
  </si>
  <si>
    <t>Userware</t>
  </si>
  <si>
    <t>03/08/2022 at 19:47:42 UTC</t>
  </si>
  <si>
    <t>Andrew J. Mason</t>
  </si>
  <si>
    <t>11/04/2022 at 01:37:23 UTC</t>
  </si>
  <si>
    <t>OpenText</t>
  </si>
  <si>
    <t>09/12/2019 at 06:24:58 UTC</t>
  </si>
  <si>
    <t>12/21/2023 at 21:23:26 UTC</t>
  </si>
  <si>
    <t>09/21/2022 at 16:25:37 UTC</t>
  </si>
  <si>
    <t>Kelverion</t>
  </si>
  <si>
    <t>11/15/2023 at 19:03:08 UTC</t>
  </si>
  <si>
    <t>Navex Global</t>
  </si>
  <si>
    <t>07/29/2022 at 17:25:12 UTC</t>
  </si>
  <si>
    <t>CyberLink</t>
  </si>
  <si>
    <t>04/04/2024 at 03:11:01 UTC</t>
  </si>
  <si>
    <t>Precision software &amp; consulting</t>
  </si>
  <si>
    <t>11/28/2018 at 07:50:01 UTC</t>
  </si>
  <si>
    <t>04/05/2023 at 00:57:33 UTC</t>
  </si>
  <si>
    <t>Olympic Systems, Inc.</t>
  </si>
  <si>
    <t>02/24/2020 at 12:44:05 UTC</t>
  </si>
  <si>
    <t>Pearson</t>
  </si>
  <si>
    <t>01/10/2020 at 08:54:47 UTC</t>
  </si>
  <si>
    <t>01/30/2024 at 00:09:53 UTC</t>
  </si>
  <si>
    <t>01/30/2024 at 00:09:59 UTC</t>
  </si>
  <si>
    <t>10/05/2022 at 21:49:01 UTC</t>
  </si>
  <si>
    <t>JetBrains</t>
  </si>
  <si>
    <t>06/07/2024 at 18:33:08 UTC</t>
  </si>
  <si>
    <t>Deltek</t>
  </si>
  <si>
    <t>04/07/2019 at 21:07:58 UTC</t>
  </si>
  <si>
    <t>Apollo Education Group, Inc.</t>
  </si>
  <si>
    <t>07/09/2019 at 07:53:45 UTC</t>
  </si>
  <si>
    <t>Rubberduck</t>
  </si>
  <si>
    <t>07/15/2024 at 19:50:25 UTC</t>
  </si>
  <si>
    <t>TIBCO</t>
  </si>
  <si>
    <t>06/21/2024 at 02:48:52 UTC</t>
  </si>
  <si>
    <t>MeadCO</t>
  </si>
  <si>
    <t>04/01/2024 at 19:29:57 UTC</t>
  </si>
  <si>
    <t>CodePlex</t>
  </si>
  <si>
    <t>10/16/2019 at 07:20:56 UTC</t>
  </si>
  <si>
    <t>REMS Software</t>
  </si>
  <si>
    <t>03/24/2019 at 21:18:30 UTC</t>
  </si>
  <si>
    <t>C3 Technology</t>
  </si>
  <si>
    <t>05/28/2019 at 12:17:31 UTC</t>
  </si>
  <si>
    <t>Rethinkit</t>
  </si>
  <si>
    <t>12/25/2019 at 07:41:54 UTC</t>
  </si>
  <si>
    <t>Parks Medical Electronics, Inc</t>
  </si>
  <si>
    <t>02/12/2019 at 09:48:43 UTC</t>
  </si>
  <si>
    <t>National Institute for Occupational Safety and Health (NIOSH)</t>
  </si>
  <si>
    <t>04/18/2019 at 11:10:03 UTC</t>
  </si>
  <si>
    <t>11/06/2024 at 02:07:51 UTC</t>
  </si>
  <si>
    <t>BrightFort</t>
  </si>
  <si>
    <t>05/03/2023 at 03:31:29 UTC</t>
  </si>
  <si>
    <t>The Veterinary Genetics Laboratory (VGL)</t>
  </si>
  <si>
    <t>03/28/2019 at 11:38:58 UTC</t>
  </si>
  <si>
    <t>MAQ, LLC</t>
  </si>
  <si>
    <t>04/02/2024 at 02:04:57 UTC</t>
  </si>
  <si>
    <t>Modality Systems Ltd</t>
  </si>
  <si>
    <t>01/12/2023 at 16:47:32 UTC</t>
  </si>
  <si>
    <t>Tableau Software</t>
  </si>
  <si>
    <t>10/25/2024 at 15:59:16 UTC</t>
  </si>
  <si>
    <t>AGFA HealthCare</t>
  </si>
  <si>
    <t>05/23/2019 at 11:52:17 UTC</t>
  </si>
  <si>
    <t>keerthik</t>
  </si>
  <si>
    <t>Karamasoft LLC</t>
  </si>
  <si>
    <t>UltraBac Software Inc.</t>
  </si>
  <si>
    <t>12/08/2021 at 02:39:22 UTC</t>
  </si>
  <si>
    <t>IDM Computer Solutions, Inc.</t>
  </si>
  <si>
    <t>08/27/2024 at 02:02:40 UTC</t>
  </si>
  <si>
    <t>UNICOM Systems, Inc.</t>
  </si>
  <si>
    <t>04/15/2021 at 14:41:44 UTC</t>
  </si>
  <si>
    <t>Thermo Fisher Scientific Inc.</t>
  </si>
  <si>
    <t>03/12/2019 at 19:53:03 UTC</t>
  </si>
  <si>
    <t>10/20/2022 at 15:34:26 UTC</t>
  </si>
  <si>
    <t>VMware</t>
  </si>
  <si>
    <t>02/07/2024 at 18:08:59 UTC</t>
  </si>
  <si>
    <t>WellBeats</t>
  </si>
  <si>
    <t>09/14/2021 at 02:31:08 UTC</t>
  </si>
  <si>
    <t>11/15/2024 at 22:28:42 UTC</t>
  </si>
  <si>
    <t>Matt Scott</t>
  </si>
  <si>
    <t>04/18/2019 at 11:10:04 UTC</t>
  </si>
  <si>
    <t>Neutrinolabs</t>
  </si>
  <si>
    <t>06/26/2024 at 16:14:51 UTC</t>
  </si>
  <si>
    <t>XLShare</t>
  </si>
  <si>
    <t>04/07/2020 at 08:22:08 UTC</t>
  </si>
  <si>
    <t>Zabkat, Inc</t>
  </si>
  <si>
    <t>08/14/2019 at 15:05:40 UTC</t>
  </si>
  <si>
    <t>3Shape</t>
  </si>
  <si>
    <t>03/04/2024 at 21:12:22 UTC</t>
  </si>
  <si>
    <t>Centers for Disease Control and Prevention</t>
  </si>
  <si>
    <t>12/10/2024 at 18:06:54 UTC</t>
  </si>
  <si>
    <t>Cliniworks</t>
  </si>
  <si>
    <t>09/08/2022 at 21:00:47 UTC</t>
  </si>
  <si>
    <t>Roche Diagnostics</t>
  </si>
  <si>
    <t>07/31/2024 at 16:43:47 UTC</t>
  </si>
  <si>
    <t>SunTech Medical, Inc.</t>
  </si>
  <si>
    <t>12/13/2024 at 19:39:16 UTC</t>
  </si>
  <si>
    <t>Defense Acquisition University</t>
  </si>
  <si>
    <t>12/20/2024 at 21:29:07 UTC</t>
  </si>
  <si>
    <t>DevExpress</t>
  </si>
  <si>
    <t>08/29/2024 at 15:54:44 UTC</t>
  </si>
  <si>
    <t>Hyland Healthcare</t>
  </si>
  <si>
    <t>07/19/2024 at 02:55:00 UTC</t>
  </si>
  <si>
    <t>MED-EL</t>
  </si>
  <si>
    <t>12/12/2023 at 19:46:10 UTC</t>
  </si>
  <si>
    <t>03/07/2023 at 03:16:05 UTC</t>
  </si>
  <si>
    <t>10/26/2023 at 19:18:31 UTC</t>
  </si>
  <si>
    <t>Advanced Bionics AG</t>
  </si>
  <si>
    <t>01/16/2024 at 21:25:12 UTC</t>
  </si>
  <si>
    <t>Advanced Mechanical Technology, Inc. (AMTI)</t>
  </si>
  <si>
    <t>09/16/2024 at 14:58:57 UTC</t>
  </si>
  <si>
    <t>Advanced Sterilization Products</t>
  </si>
  <si>
    <t>05/01/2023 at 02:06:11 UTC</t>
  </si>
  <si>
    <t>Steris</t>
  </si>
  <si>
    <t>07/29/2024 at 14:48:42 UTC</t>
  </si>
  <si>
    <t>Interacoustics</t>
  </si>
  <si>
    <t>06/25/2024 at 15:27:59 UTC</t>
  </si>
  <si>
    <t>Becton, Dickinson and Company</t>
  </si>
  <si>
    <t>07/19/2024 at 16:33:56 UTC</t>
  </si>
  <si>
    <t>01/03/2023 at 08:08:46 UTC</t>
  </si>
  <si>
    <t>Security Information Systems, Inc.</t>
  </si>
  <si>
    <t>10/16/2024 at 21:30:49 UTC</t>
  </si>
  <si>
    <t>Alexsys Corporation</t>
  </si>
  <si>
    <t>05/06/2024 at 17:36:24 UTC</t>
  </si>
  <si>
    <t>07/24/2024 at 04:25:09 UTC</t>
  </si>
  <si>
    <t>Allscripts</t>
  </si>
  <si>
    <t>11/14/2022 at 17:41:49 UTC</t>
  </si>
  <si>
    <t>Altair Knowledge Works</t>
  </si>
  <si>
    <t>08/02/2024 at 19:01:15 UTC</t>
  </si>
  <si>
    <t>06/03/2024 at 16:54:57 UTC</t>
  </si>
  <si>
    <t>Alvaria</t>
  </si>
  <si>
    <t>10/19/2022 at 16:51:01 UTC</t>
  </si>
  <si>
    <t>12/09/2024 at 16:13:31 UTC</t>
  </si>
  <si>
    <t>Amazon Web Services</t>
  </si>
  <si>
    <t>12/06/2023 at 02:43:54 UTC</t>
  </si>
  <si>
    <t>PioneerIt</t>
  </si>
  <si>
    <t>12/09/2022 at 20:09:39 UTC</t>
  </si>
  <si>
    <t>Anaconda</t>
  </si>
  <si>
    <t>04/08/2024 at 14:58:01 UTC</t>
  </si>
  <si>
    <t>Animal Resource Management</t>
  </si>
  <si>
    <t>12/05/2022 at 17:52:43 UTC</t>
  </si>
  <si>
    <t>Omnicell</t>
  </si>
  <si>
    <t>09/26/2024 at 17:51:14 UTC</t>
  </si>
  <si>
    <t>Leica Biosystems</t>
  </si>
  <si>
    <t>01/30/2024 at 01:07:28 UTC</t>
  </si>
  <si>
    <t>12/06/2023 at 02:43:55 UTC</t>
  </si>
  <si>
    <t>12/10/2024 at 18:07:36 UTC</t>
  </si>
  <si>
    <t>TeraRecon</t>
  </si>
  <si>
    <t>03/11/2024 at 14:14:02 UTC</t>
  </si>
  <si>
    <t>Radiometer America</t>
  </si>
  <si>
    <t>06/27/2024 at 17:09:34 UTC</t>
  </si>
  <si>
    <t>Varian Medical Systems</t>
  </si>
  <si>
    <t>11/14/2024 at 18:51:23 UTC</t>
  </si>
  <si>
    <t>Ascom</t>
  </si>
  <si>
    <t>01/11/2024 at 17:00:49 UTC</t>
  </si>
  <si>
    <t>Assessment Center</t>
  </si>
  <si>
    <t>08/02/2022 at 18:18:33 UTC</t>
  </si>
  <si>
    <t>InfinID Technologies, Inc.</t>
  </si>
  <si>
    <t>12/22/2023 at 20:35:45 UTC</t>
  </si>
  <si>
    <t>Astera</t>
  </si>
  <si>
    <t>01/06/2025 at 02:05:01 UTC</t>
  </si>
  <si>
    <t>Simens Healthineers</t>
  </si>
  <si>
    <t>03/16/2023 at 14:50:53 UTC</t>
  </si>
  <si>
    <t>InfoTronics</t>
  </si>
  <si>
    <t>09/10/2024 at 15:46:05 UTC</t>
  </si>
  <si>
    <t>Observational Health Data Sciences &amp; Informatics (OHDSI)</t>
  </si>
  <si>
    <t>08/04/2022 at 17:32:00 UTC</t>
  </si>
  <si>
    <t>Aveva</t>
  </si>
  <si>
    <t>06/21/2024 at 02:48:54 UTC</t>
  </si>
  <si>
    <t>Avicenna Medical Systems</t>
  </si>
  <si>
    <t>Axure Software Solutions</t>
  </si>
  <si>
    <t>06/13/2024 at 16:57:15 UTC</t>
  </si>
  <si>
    <t>08/27/2024 at 02:02:42 UTC</t>
  </si>
  <si>
    <t>05/13/2024 at 16:17:13 UTC</t>
  </si>
  <si>
    <t>Capital Solution Design</t>
  </si>
  <si>
    <t>11/15/2022 at 13:31:31 UTC</t>
  </si>
  <si>
    <t>10/16/2024 at 21:30:07 UTC</t>
  </si>
  <si>
    <t>ec2 Software Solutions</t>
  </si>
  <si>
    <t>03/22/2023 at 16:47:07 UTC</t>
  </si>
  <si>
    <t>Advarra</t>
  </si>
  <si>
    <t>11/14/2022 at 02:06:18 UTC</t>
  </si>
  <si>
    <t>10/29/2024 at 19:18:23 UTC</t>
  </si>
  <si>
    <t>Bio-Rad Laboratories</t>
  </si>
  <si>
    <t>02/21/2023 at 19:00:04 UTC</t>
  </si>
  <si>
    <t>Atlassian Software Systems</t>
  </si>
  <si>
    <t>10/16/2023 at 16:24:27 UTC</t>
  </si>
  <si>
    <t>Haemonetics Corporation</t>
  </si>
  <si>
    <t>09/16/2022 at 19:27:24 UTC</t>
  </si>
  <si>
    <t>SS&amp;C Technologies, Inc</t>
  </si>
  <si>
    <t>10/12/2023 at 19:34:49 UTC</t>
  </si>
  <si>
    <t>09/10/2024 at 15:46:02 UTC</t>
  </si>
  <si>
    <t>Blue Sky Statistics</t>
  </si>
  <si>
    <t>12/22/2022 at 22:17:17 UTC</t>
  </si>
  <si>
    <t>Bodystat</t>
  </si>
  <si>
    <t>06/11/2024 at 16:45:40 UTC</t>
  </si>
  <si>
    <t>12/05/2022 at 17:52:52 UTC</t>
  </si>
  <si>
    <t>Vitria</t>
  </si>
  <si>
    <t>12/13/2024 at 19:36:30 UTC</t>
  </si>
  <si>
    <t>Neurovirtual</t>
  </si>
  <si>
    <t>12/14/2023 at 13:36:51 UTC</t>
  </si>
  <si>
    <t>Cadwell Industries</t>
  </si>
  <si>
    <t>10/28/2023 at 03:30:59 UTC</t>
  </si>
  <si>
    <t>CakePHP</t>
  </si>
  <si>
    <t>11/02/2022 at 04:10:23 UTC</t>
  </si>
  <si>
    <t>BrainTrain, Inc.</t>
  </si>
  <si>
    <t>01/03/2024 at 04:39:54 UTC</t>
  </si>
  <si>
    <t>Cardiac Insight</t>
  </si>
  <si>
    <t>10/30/2024 at 15:24:38 UTC</t>
  </si>
  <si>
    <t>McKesson</t>
  </si>
  <si>
    <t>08/04/2023 at 00:45:57 UTC</t>
  </si>
  <si>
    <t>CareSystems, Inc</t>
  </si>
  <si>
    <t>08/12/2024 at 15:25:19 UTC</t>
  </si>
  <si>
    <t>OpenGov Cloud</t>
  </si>
  <si>
    <t>07/29/2024 at 14:48:43 UTC</t>
  </si>
  <si>
    <t>3DHISTECH Ltd.</t>
  </si>
  <si>
    <t>01/25/2024 at 23:26:16 UTC</t>
  </si>
  <si>
    <t>Shipcom Wireless, Inc</t>
  </si>
  <si>
    <t>12/05/2022 at 17:52:44 UTC</t>
  </si>
  <si>
    <t>01/11/2023 at 18:22:30 UTC</t>
  </si>
  <si>
    <t>Meyers Neuropsychological Services</t>
  </si>
  <si>
    <t>01/05/2023 at 01:50:58 UTC</t>
  </si>
  <si>
    <t>Cedars-Sinai Medical Center</t>
  </si>
  <si>
    <t>03/17/2023 at 17:39:47 UTC</t>
  </si>
  <si>
    <t>Censis Technologies, Inc.</t>
  </si>
  <si>
    <t>11/29/2024 at 17:31:30 UTC</t>
  </si>
  <si>
    <t>CenTrak</t>
  </si>
  <si>
    <t>01/07/2025 at 01:24:54 UTC</t>
  </si>
  <si>
    <t>08/13/2024 at 19:16:07 UTC</t>
  </si>
  <si>
    <t>03/27/2023 at 15:43:20 UTC</t>
  </si>
  <si>
    <t>GE Healthcare</t>
  </si>
  <si>
    <t>04/04/2023 at 02:07:15 UTC</t>
  </si>
  <si>
    <t>07/29/2024 at 14:48:45 UTC</t>
  </si>
  <si>
    <t>09/12/2024 at 16:58:22 UTC</t>
  </si>
  <si>
    <t>Rees Scientific</t>
  </si>
  <si>
    <t>01/24/2024 at 03:41:08 UTC</t>
  </si>
  <si>
    <t>02/16/2023 at 18:15:10 UTC</t>
  </si>
  <si>
    <t>03/06/2023 at 20:04:08 UTC</t>
  </si>
  <si>
    <t>3M</t>
  </si>
  <si>
    <t>02/14/2023 at 03:11:01 UTC</t>
  </si>
  <si>
    <t>Checkmarx Ltd.</t>
  </si>
  <si>
    <t>11/25/2024 at 18:01:57 UTC</t>
  </si>
  <si>
    <t>Circle Cardiovascular Imaging</t>
  </si>
  <si>
    <t>Health Services Research and Development Service (HSR&amp;D)</t>
  </si>
  <si>
    <t>09/27/2024 at 16:28:42 UTC</t>
  </si>
  <si>
    <t>12/04/2024 at 16:23:30 UTC</t>
  </si>
  <si>
    <t>Aptarro</t>
  </si>
  <si>
    <t>01/02/2025 at 19:25:00 UTC</t>
  </si>
  <si>
    <t>Neogen Corporation</t>
  </si>
  <si>
    <t>03/27/2024 at 01:49:29 UTC</t>
  </si>
  <si>
    <t>Innovation Passion Automation (IPA)</t>
  </si>
  <si>
    <t>05/14/2024 at 21:56:41 UTC</t>
  </si>
  <si>
    <t>01/06/2025 at 16:59:01 UTC</t>
  </si>
  <si>
    <t>Clinical Outcomes Reporting Informatics</t>
  </si>
  <si>
    <t>10/25/2022 at 19:18:02 UTC</t>
  </si>
  <si>
    <t>KaVo Kerr</t>
  </si>
  <si>
    <t>05/16/2024 at 15:53:22 UTC</t>
  </si>
  <si>
    <t>09/26/2024 at 17:51:03 UTC</t>
  </si>
  <si>
    <t>03/11/2024 at 14:14:38 UTC</t>
  </si>
  <si>
    <t>COBOL-IT</t>
  </si>
  <si>
    <t>04/29/2024 at 16:45:45 UTC</t>
  </si>
  <si>
    <t>RF Technologies</t>
  </si>
  <si>
    <t>Yes Software</t>
  </si>
  <si>
    <t>CodeSmith Tools</t>
  </si>
  <si>
    <t>Stryker</t>
  </si>
  <si>
    <t>Coginiti</t>
  </si>
  <si>
    <t>Mark Dombeck</t>
  </si>
  <si>
    <t>04/04/2024 at 15:40:19 UTC</t>
  </si>
  <si>
    <t>04/10/2024 at 17:36:39 UTC</t>
  </si>
  <si>
    <t>Boston University</t>
  </si>
  <si>
    <t>04/24/2024 at 18:28:06 UTC</t>
  </si>
  <si>
    <t>Morgan Scientific</t>
  </si>
  <si>
    <t>10/20/2022 at 15:34:05 UTC</t>
  </si>
  <si>
    <t>Appgate</t>
  </si>
  <si>
    <t>08/05/2022 at 16:07:05 UTC</t>
  </si>
  <si>
    <t>Philips</t>
  </si>
  <si>
    <t>CommSys</t>
  </si>
  <si>
    <t>03/27/2023 at 15:43:23 UTC</t>
  </si>
  <si>
    <t>Cantel Medical</t>
  </si>
  <si>
    <t>09/19/2024 at 17:25:14 UTC</t>
  </si>
  <si>
    <t>08/01/2024 at 15:53:43 UTC</t>
  </si>
  <si>
    <t>Hill-Rom</t>
  </si>
  <si>
    <t>01/07/2025 at 01:24:57 UTC</t>
  </si>
  <si>
    <t>Connexall</t>
  </si>
  <si>
    <t>12/28/2023 at 20:12:16 UTC</t>
  </si>
  <si>
    <t>05/03/2023 at 03:31:36 UTC</t>
  </si>
  <si>
    <t>Shimmersensing</t>
  </si>
  <si>
    <t>03/27/2023 at 01:06:49 UTC</t>
  </si>
  <si>
    <t>Orchard Software Corporation</t>
  </si>
  <si>
    <t>09/28/2022 at 01:40:54 UTC</t>
  </si>
  <si>
    <t>Rhapsody</t>
  </si>
  <si>
    <t>12/26/2023 at 22:06:14 UTC</t>
  </si>
  <si>
    <t>Core Mobile Inc.</t>
  </si>
  <si>
    <t>12/27/2024 at 15:39:44 UTC</t>
  </si>
  <si>
    <t>Cority</t>
  </si>
  <si>
    <t>04/22/2024 at 17:37:32 UTC</t>
  </si>
  <si>
    <t>10/19/2022 at 16:51:02 UTC</t>
  </si>
  <si>
    <t>CruiseControl development team</t>
  </si>
  <si>
    <t>12/20/2024 at 21:29:09 UTC</t>
  </si>
  <si>
    <t>09/28/2023 at 15:36:20 UTC</t>
  </si>
  <si>
    <t>05/24/2024 at 16:48:56 UTC</t>
  </si>
  <si>
    <t>08/18/2022 at 18:58:20 UTC</t>
  </si>
  <si>
    <t>Compumedics Neuroscan</t>
  </si>
  <si>
    <t>12/07/2023 at 18:12:23 UTC</t>
  </si>
  <si>
    <t>10/26/2023 at 16:23:55 UTC</t>
  </si>
  <si>
    <t>02/12/2024 at 03:26:07 UTC</t>
  </si>
  <si>
    <t>Dacima Software, Inc</t>
  </si>
  <si>
    <t>01/18/2024 at 02:49:59 UTC</t>
  </si>
  <si>
    <t>Codonics</t>
  </si>
  <si>
    <t>03/14/2023 at 16:27:24 UTC</t>
  </si>
  <si>
    <t>Trellix</t>
  </si>
  <si>
    <t>09/16/2024 at 14:58:52 UTC</t>
  </si>
  <si>
    <t>Lucastle</t>
  </si>
  <si>
    <t>04/04/2024 at 15:40:18 UTC</t>
  </si>
  <si>
    <t>10/31/2024 at 16:35:43 UTC</t>
  </si>
  <si>
    <t>07/19/2024 at 16:34:04 UTC</t>
  </si>
  <si>
    <t>DBeaver</t>
  </si>
  <si>
    <t>11/21/2024 at 23:32:32 UTC</t>
  </si>
  <si>
    <t>Devart</t>
  </si>
  <si>
    <t>01/25/2023 at 18:04:21 UTC</t>
  </si>
  <si>
    <t>DbUp</t>
  </si>
  <si>
    <t>01/25/2023 at 18:04:24 UTC</t>
  </si>
  <si>
    <t>09/12/2024 at 16:58:28 UTC</t>
  </si>
  <si>
    <t>10/18/2022 at 16:18:07 UTC</t>
  </si>
  <si>
    <t>DFnet</t>
  </si>
  <si>
    <t>Prodigy Diabetes Care</t>
  </si>
  <si>
    <t>03/12/2024 at 15:25:10 UTC</t>
  </si>
  <si>
    <t>Renesan Software</t>
  </si>
  <si>
    <t>01/05/2024 at 19:07:33 UTC</t>
  </si>
  <si>
    <t>Altova</t>
  </si>
  <si>
    <t>10/24/2023 at 01:34:30 UTC</t>
  </si>
  <si>
    <t>Laurel Bridge Software</t>
  </si>
  <si>
    <t>06/03/2024 at 19:05:45 UTC</t>
  </si>
  <si>
    <t>Data Distributing</t>
  </si>
  <si>
    <t>02/06/2024 at 02:01:17 UTC</t>
  </si>
  <si>
    <t>digital.ai</t>
  </si>
  <si>
    <t>06/21/2024 at 22:00:39 UTC</t>
  </si>
  <si>
    <t>Digisonics, Inc.</t>
  </si>
  <si>
    <t>11/30/2022 at 02:56:26 UTC</t>
  </si>
  <si>
    <t>MadCap Software, Inc.</t>
  </si>
  <si>
    <t>08/08/2022 at 17:52:03 UTC</t>
  </si>
  <si>
    <t>12/12/2023 at 16:53:39 UTC</t>
  </si>
  <si>
    <t>10/25/2022 at 19:18:03 UTC</t>
  </si>
  <si>
    <t>11/08/2024 at 02:03:34 UTC</t>
  </si>
  <si>
    <t>02/02/2023 at 18:46:41 UTC</t>
  </si>
  <si>
    <t>01/11/2024 at 16:12:22 UTC</t>
  </si>
  <si>
    <t>10/25/2023 at 20:45:49 UTC</t>
  </si>
  <si>
    <t>12/10/2024 at 18:07:41 UTC</t>
  </si>
  <si>
    <t>06/06/2024 at 16:17:50 UTC</t>
  </si>
  <si>
    <t>04/01/2024 at 02:09:10 UTC</t>
  </si>
  <si>
    <t>DotNetNuke Corp.</t>
  </si>
  <si>
    <t>01/06/2025 at 02:04:59 UTC</t>
  </si>
  <si>
    <t>10/12/2023 at 19:34:50 UTC</t>
  </si>
  <si>
    <t>11/06/2024 at 02:07:38 UTC</t>
  </si>
  <si>
    <t>01/20/2023 at 19:57:14 UTC</t>
  </si>
  <si>
    <t>12/19/2024 at 15:06:48 UTC</t>
  </si>
  <si>
    <t>01/17/2023 at 17:42:14 UTC</t>
  </si>
  <si>
    <t>dtSearch Corp.</t>
  </si>
  <si>
    <t>10/18/2024 at 18:03:17 UTC</t>
  </si>
  <si>
    <t>Invivo</t>
  </si>
  <si>
    <t>04/04/2023 at 02:07:14 UTC</t>
  </si>
  <si>
    <t>11/25/2024 at 18:02:02 UTC</t>
  </si>
  <si>
    <t>ndd Medical Technologies, Inc.</t>
  </si>
  <si>
    <t>11/30/2022 at 02:56:30 UTC</t>
  </si>
  <si>
    <t>eGain</t>
  </si>
  <si>
    <t>12/06/2023 at 02:43:58 UTC</t>
  </si>
  <si>
    <t>Elpas</t>
  </si>
  <si>
    <t>12/26/2023 at 22:06:11 UTC</t>
  </si>
  <si>
    <t>Ergotron</t>
  </si>
  <si>
    <t>09/01/2022 at 20:19:34 UTC</t>
  </si>
  <si>
    <t>Calyx</t>
  </si>
  <si>
    <t>06/26/2024 at 16:14:49 UTC</t>
  </si>
  <si>
    <t>TECSYS Inc.</t>
  </si>
  <si>
    <t>09/10/2024 at 15:46:03 UTC</t>
  </si>
  <si>
    <t>11/09/2023 at 19:23:09 UTC</t>
  </si>
  <si>
    <t>NewCura</t>
  </si>
  <si>
    <t>06/03/2024 at 19:05:58 UTC</t>
  </si>
  <si>
    <t>Charles River</t>
  </si>
  <si>
    <t>11/07/2024 at 19:09:08 UTC</t>
  </si>
  <si>
    <t>Monarch Medical Technologies</t>
  </si>
  <si>
    <t>EndoSoft</t>
  </si>
  <si>
    <t>07/17/2024 at 16:03:15 UTC</t>
  </si>
  <si>
    <t>Enghouse Interactive</t>
  </si>
  <si>
    <t>04/18/2024 at 18:19:36 UTC</t>
  </si>
  <si>
    <t>11/15/2023 at 19:03:06 UTC</t>
  </si>
  <si>
    <t>05/09/2023 at 19:44:09 UTC</t>
  </si>
  <si>
    <t>ImageWare Systems</t>
  </si>
  <si>
    <t>11/30/2022 at 02:56:28 UTC</t>
  </si>
  <si>
    <t>dormakaba</t>
  </si>
  <si>
    <t>03/17/2023 at 19:30:50 UTC</t>
  </si>
  <si>
    <t>Idera</t>
  </si>
  <si>
    <t>erwin</t>
  </si>
  <si>
    <t>BioEx Systems</t>
  </si>
  <si>
    <t>Expert-24</t>
  </si>
  <si>
    <t>10/13/2022 at 21:20:23 UTC</t>
  </si>
  <si>
    <t>12/20/2022 at 21:00:37 UTC</t>
  </si>
  <si>
    <t>11/20/2023 at 13:27:49 UTC</t>
  </si>
  <si>
    <t>Sebasti&amp;#225;n Ram&amp;#237;rez</t>
  </si>
  <si>
    <t>02/08/2024 at 15:41:23 UTC</t>
  </si>
  <si>
    <t>09/27/2024 at 16:28:39 UTC</t>
  </si>
  <si>
    <t>11/20/2024 at 14:40:28 UTC</t>
  </si>
  <si>
    <t>FDB First Databank</t>
  </si>
  <si>
    <t>03/14/2024 at 16:06:27 UTC</t>
  </si>
  <si>
    <t>TSI Inc.</t>
  </si>
  <si>
    <t>De Novo Software</t>
  </si>
  <si>
    <t>06/03/2024 at 19:05:59 UTC</t>
  </si>
  <si>
    <t>BreezeTree</t>
  </si>
  <si>
    <t>01/25/2023 at 18:04:20 UTC</t>
  </si>
  <si>
    <t>James Gregory</t>
  </si>
  <si>
    <t>05/06/2024 at 17:36:22 UTC</t>
  </si>
  <si>
    <t>08/31/2022 at 02:19:01 UTC</t>
  </si>
  <si>
    <t>Safe Software</t>
  </si>
  <si>
    <t>West-Com Nurse Call Systems, Inc.</t>
  </si>
  <si>
    <t>01/04/2024 at 03:41:25 UTC</t>
  </si>
  <si>
    <t>Esha Research</t>
  </si>
  <si>
    <t>04/10/2024 at 17:17:08 UTC</t>
  </si>
  <si>
    <t>Dataworks Development Inc.</t>
  </si>
  <si>
    <t>07/17/2024 at 16:03:16 UTC</t>
  </si>
  <si>
    <t>Userland</t>
  </si>
  <si>
    <t>Adaptigent</t>
  </si>
  <si>
    <t>11/25/2024 at 18:01:51 UTC</t>
  </si>
  <si>
    <t>Lucidworks</t>
  </si>
  <si>
    <t>02/12/2024 at 20:36:27 UTC</t>
  </si>
  <si>
    <t>Intergral</t>
  </si>
  <si>
    <t>04/30/2024 at 17:14:35 UTC</t>
  </si>
  <si>
    <t>Aptech</t>
  </si>
  <si>
    <t>05/09/2023 at 03:56:06 UTC</t>
  </si>
  <si>
    <t>10/03/2023 at 15:45:27 UTC</t>
  </si>
  <si>
    <t>Geneious</t>
  </si>
  <si>
    <t>12/20/2022 at 21:00:38 UTC</t>
  </si>
  <si>
    <t>Oticon</t>
  </si>
  <si>
    <t>09/24/2024 at 16:22:04 UTC</t>
  </si>
  <si>
    <t>VA OIT Product Development</t>
  </si>
  <si>
    <t>12/26/2023 at 22:06:15 UTC</t>
  </si>
  <si>
    <t>National Cancer Institute (NCI)</t>
  </si>
  <si>
    <t>12/27/2024 at 23:58:37 UTC</t>
  </si>
  <si>
    <t>Global Telehealth Services</t>
  </si>
  <si>
    <t>09/01/2022 at 20:19:30 UTC</t>
  </si>
  <si>
    <t>Green&amp;#39;s Publishing</t>
  </si>
  <si>
    <t>07/01/2024 at 19:39:38 UTC</t>
  </si>
  <si>
    <t>07/21/2023 at 16:37:10 UTC</t>
  </si>
  <si>
    <t>HammerDB</t>
  </si>
  <si>
    <t>10/25/2022 at 19:18:04 UTC</t>
  </si>
  <si>
    <t>Health Literacy Innovations</t>
  </si>
  <si>
    <t>06/06/2024 at 16:17:54 UTC</t>
  </si>
  <si>
    <t>Medtronic</t>
  </si>
  <si>
    <t>ConexSys Inc.</t>
  </si>
  <si>
    <t>01/08/2024 at 02:39:47 UTC</t>
  </si>
  <si>
    <t>12/19/2024 at 15:06:43 UTC</t>
  </si>
  <si>
    <t>Workplace Integra</t>
  </si>
  <si>
    <t>One Lambda</t>
  </si>
  <si>
    <t>07/12/2024 at 02:56:00 UTC</t>
  </si>
  <si>
    <t>Huron Consulting Group, Inc.</t>
  </si>
  <si>
    <t>02/23/2024 at 02:59:39 UTC</t>
  </si>
  <si>
    <t>04/01/2024 at 02:08:18 UTC</t>
  </si>
  <si>
    <t>HyperScience</t>
  </si>
  <si>
    <t>09/28/2023 at 15:36:22 UTC</t>
  </si>
  <si>
    <t>iGrafx</t>
  </si>
  <si>
    <t>02/23/2024 at 02:59:40 UTC</t>
  </si>
  <si>
    <t>InterFaceWare</t>
  </si>
  <si>
    <t>04/05/2023 at 00:57:26 UTC</t>
  </si>
  <si>
    <t>MathWorks</t>
  </si>
  <si>
    <t>05/03/2023 at 16:52:53 UTC</t>
  </si>
  <si>
    <t>TOPCON</t>
  </si>
  <si>
    <t>Canon</t>
  </si>
  <si>
    <t>09/12/2024 at 16:58:23 UTC</t>
  </si>
  <si>
    <t>Taylor Healthcare</t>
  </si>
  <si>
    <t>07/30/2024 at 15:31:40 UTC</t>
  </si>
  <si>
    <t>Imprivata, Inc.</t>
  </si>
  <si>
    <t>10/10/2024 at 18:03:49 UTC</t>
  </si>
  <si>
    <t>Agiliti Health, Inc.</t>
  </si>
  <si>
    <t>12/21/2023 at 21:23:24 UTC</t>
  </si>
  <si>
    <t>Teledyne Vision Solutions</t>
  </si>
  <si>
    <t>11/07/2024 at 19:09:22 UTC</t>
  </si>
  <si>
    <t>10/25/2024 at 15:59:14 UTC</t>
  </si>
  <si>
    <t>Informatica</t>
  </si>
  <si>
    <t>11/20/2024 at 14:40:29 UTC</t>
  </si>
  <si>
    <t>11/08/2024 at 02:03:32 UTC</t>
  </si>
  <si>
    <t>12/10/2024 at 18:06:50 UTC</t>
  </si>
  <si>
    <t>12/05/2022 at 17:52:46 UTC</t>
  </si>
  <si>
    <t>10/18/2024 at 17:34:25 UTC</t>
  </si>
  <si>
    <t>Draeger Medical Inc.</t>
  </si>
  <si>
    <t>Millisecond Software</t>
  </si>
  <si>
    <t>12/20/2024 at 22:31:47 UTC</t>
  </si>
  <si>
    <t>Starkey</t>
  </si>
  <si>
    <t>09/28/2023 at 02:42:35 UTC</t>
  </si>
  <si>
    <t>Revenera</t>
  </si>
  <si>
    <t>08/28/2024 at 17:43:03 UTC</t>
  </si>
  <si>
    <t>iMedRIS</t>
  </si>
  <si>
    <t>01/23/2024 at 01:30:42 UTC</t>
  </si>
  <si>
    <t>PickPoint</t>
  </si>
  <si>
    <t>12/02/2022 at 03:50:53 UTC</t>
  </si>
  <si>
    <t>09/07/2022 at 17:20:55 UTC</t>
  </si>
  <si>
    <t>09/24/2024 at 16:22:07 UTC</t>
  </si>
  <si>
    <t>05/07/2024 at 03:25:28 UTC</t>
  </si>
  <si>
    <t>08/12/2024 at 15:25:14 UTC</t>
  </si>
  <si>
    <t>03/22/2024 at 00:44:47 UTC</t>
  </si>
  <si>
    <t>ICU Medical, Inc.</t>
  </si>
  <si>
    <t>01/31/2023 at 03:11:05 UTC</t>
  </si>
  <si>
    <t>05/16/2024 at 15:53:19 UTC</t>
  </si>
  <si>
    <t>10/31/2024 at 16:35:45 UTC</t>
  </si>
  <si>
    <t>11/04/2022 at 01:37:20 UTC</t>
  </si>
  <si>
    <t>11/14/2022 at 17:43:09 UTC</t>
  </si>
  <si>
    <t>11/07/2023 at 17:12:45 UTC</t>
  </si>
  <si>
    <t>10/10/2023 at 15:10:54 UTC</t>
  </si>
  <si>
    <t>08/28/2024 at 17:43:10 UTC</t>
  </si>
  <si>
    <t>09/26/2024 at 17:51:07 UTC</t>
  </si>
  <si>
    <t>10/10/2022 at 19:58:54 UTC</t>
  </si>
  <si>
    <t>Spacelabs Healthcare</t>
  </si>
  <si>
    <t>Intrigma</t>
  </si>
  <si>
    <t>08/31/2022 at 02:19:02 UTC</t>
  </si>
  <si>
    <t>InterSystems</t>
  </si>
  <si>
    <t>12/13/2024 at 19:36:29 UTC</t>
  </si>
  <si>
    <t>Wasp Barcode Technologies</t>
  </si>
  <si>
    <t>03/14/2024 at 16:06:22 UTC</t>
  </si>
  <si>
    <t>Cartegraph</t>
  </si>
  <si>
    <t>Invotech</t>
  </si>
  <si>
    <t>03/01/2024 at 00:55:44 UTC</t>
  </si>
  <si>
    <t>iViews Imaging System, LLC</t>
  </si>
  <si>
    <t>09/07/2022 at 17:20:54 UTC</t>
  </si>
  <si>
    <t>J2 Interactive</t>
  </si>
  <si>
    <t>JasperSoft</t>
  </si>
  <si>
    <t>07/01/2024 at 19:39:34 UTC</t>
  </si>
  <si>
    <t>Red Hat</t>
  </si>
  <si>
    <t>09/01/2022 at 20:19:28 UTC</t>
  </si>
  <si>
    <t>JBoss</t>
  </si>
  <si>
    <t>10/10/2022 at 19:58:55 UTC</t>
  </si>
  <si>
    <t>06/03/2024 at 16:54:56 UTC</t>
  </si>
  <si>
    <t>02/02/2023 at 18:46:50 UTC</t>
  </si>
  <si>
    <t>11/29/2022 at 18:11:46 UTC</t>
  </si>
  <si>
    <t>JTB World</t>
  </si>
  <si>
    <t>08/13/2024 at 13:28:45 UTC</t>
  </si>
  <si>
    <t>Components4Developers</t>
  </si>
  <si>
    <t>Kentico Software</t>
  </si>
  <si>
    <t>11/22/2023 at 15:05:18 UTC</t>
  </si>
  <si>
    <t>Koerber</t>
  </si>
  <si>
    <t>05/16/2024 at 15:53:24 UTC</t>
  </si>
  <si>
    <t>Kofax Inc.</t>
  </si>
  <si>
    <t>12/05/2022 at 17:52:47 UTC</t>
  </si>
  <si>
    <t>Ottobock</t>
  </si>
  <si>
    <t>09/27/2024 at 16:28:40 UTC</t>
  </si>
  <si>
    <t>LABLION</t>
  </si>
  <si>
    <t>09/21/2022 at 02:03:41 UTC</t>
  </si>
  <si>
    <t>Inventrix, Inc.</t>
  </si>
  <si>
    <t>LabVantage</t>
  </si>
  <si>
    <t>07/12/2022 at 19:30:42 UTC</t>
  </si>
  <si>
    <t>National Instruments</t>
  </si>
  <si>
    <t>11/04/2022 at 01:37:18 UTC</t>
  </si>
  <si>
    <t>Smith+Nephew</t>
  </si>
  <si>
    <t>03/01/2024 at 00:55:48 UTC</t>
  </si>
  <si>
    <t>Trivantis Corporation Inc.</t>
  </si>
  <si>
    <t>02/28/2024 at 16:07:27 UTC</t>
  </si>
  <si>
    <t>EXL</t>
  </si>
  <si>
    <t>05/07/2024 at 03:25:22 UTC</t>
  </si>
  <si>
    <t>Pennebaker Conglomerates, Inc.</t>
  </si>
  <si>
    <t>10/07/2024 at 22:22:09 UTC</t>
  </si>
  <si>
    <t>Strategic Matching, Inc.</t>
  </si>
  <si>
    <t>11/03/2023 at 03:22:50 UTC</t>
  </si>
  <si>
    <t>Joseph Albahari</t>
  </si>
  <si>
    <t>05/08/2024 at 13:48:00 UTC</t>
  </si>
  <si>
    <t>Blatchford, Inc</t>
  </si>
  <si>
    <t>09/16/2022 at 19:27:22 UTC</t>
  </si>
  <si>
    <t>LiquiBase</t>
  </si>
  <si>
    <t>08/13/2024 at 13:28:44 UTC</t>
  </si>
  <si>
    <t>Whitestein</t>
  </si>
  <si>
    <t>09/14/2022 at 19:24:13 UTC</t>
  </si>
  <si>
    <t>10/10/2024 at 18:03:50 UTC</t>
  </si>
  <si>
    <t>Krames</t>
  </si>
  <si>
    <t>12/06/2022 at 02:46:56 UTC</t>
  </si>
  <si>
    <t>Leidos</t>
  </si>
  <si>
    <t>Ludlum Measurements, Inc.</t>
  </si>
  <si>
    <t>03/22/2024 at 00:45:21 UTC</t>
  </si>
  <si>
    <t>09/21/2023 at 12:07:38 UTC</t>
  </si>
  <si>
    <t>MagView</t>
  </si>
  <si>
    <t>Medical Reporting Software Systems, Inc.</t>
  </si>
  <si>
    <t>11/26/2022 at 01:18:25 UTC</t>
  </si>
  <si>
    <t>04/01/2024 at 02:08:16 UTC</t>
  </si>
  <si>
    <t>Werfen</t>
  </si>
  <si>
    <t>11/27/2024 at 00:44:25 UTC</t>
  </si>
  <si>
    <t>Roy Matheson and Associates Inc.</t>
  </si>
  <si>
    <t>03/01/2024 at 18:24:47 UTC</t>
  </si>
  <si>
    <t>07/10/2024 at 12:15:36 UTC</t>
  </si>
  <si>
    <t>VERBI GmbH</t>
  </si>
  <si>
    <t>MaxQ</t>
  </si>
  <si>
    <t>03/31/2023 at 19:03:18 UTC</t>
  </si>
  <si>
    <t>Howard Medical</t>
  </si>
  <si>
    <t>07/19/2024 at 02:54:49 UTC</t>
  </si>
  <si>
    <t>Eye Care Leaders</t>
  </si>
  <si>
    <t>07/01/2024 at 15:53:20 UTC</t>
  </si>
  <si>
    <t>Empirisoft</t>
  </si>
  <si>
    <t>08/29/2024 at 15:54:45 UTC</t>
  </si>
  <si>
    <t>Medicalis Corporation</t>
  </si>
  <si>
    <t>Lattice Solutions</t>
  </si>
  <si>
    <t>06/07/2024 at 18:33:11 UTC</t>
  </si>
  <si>
    <t>Medicor Imaging</t>
  </si>
  <si>
    <t>04/05/2023 at 00:57:24 UTC</t>
  </si>
  <si>
    <t>Wolters Kluwer Health</t>
  </si>
  <si>
    <t>10/14/2024 at 01:22:54 UTC</t>
  </si>
  <si>
    <t>MedRx, Inc.</t>
  </si>
  <si>
    <t>08/29/2024 at 15:55:04 UTC</t>
  </si>
  <si>
    <t>11/28/2023 at 19:44:27 UTC</t>
  </si>
  <si>
    <t>Merative</t>
  </si>
  <si>
    <t>11/03/2023 at 03:22:48 UTC</t>
  </si>
  <si>
    <t>iMDSoft</t>
  </si>
  <si>
    <t>09/16/2022 at 19:27:21 UTC</t>
  </si>
  <si>
    <t>Netalytics</t>
  </si>
  <si>
    <t>10/25/2023 at 03:34:41 UTC</t>
  </si>
  <si>
    <t>02/23/2024 at 14:30:55 UTC</t>
  </si>
  <si>
    <t>10/13/2023 at 18:32:53 UTC</t>
  </si>
  <si>
    <t>Mobile Heartbeat Clinical Communications</t>
  </si>
  <si>
    <t>10/10/2022 at 20:11:49 UTC</t>
  </si>
  <si>
    <t>07/20/2022 at 16:24:55 UTC</t>
  </si>
  <si>
    <t>Securitas Healthcare</t>
  </si>
  <si>
    <t>04/16/2024 at 15:23:31 UTC</t>
  </si>
  <si>
    <t>09/25/2024 at 18:22:52 UTC</t>
  </si>
  <si>
    <t>Duke University Health System</t>
  </si>
  <si>
    <t>10/05/2022 at 21:49:03 UTC</t>
  </si>
  <si>
    <t>08/27/2024 at 02:03:09 UTC</t>
  </si>
  <si>
    <t>07/10/2024 at 12:15:38 UTC</t>
  </si>
  <si>
    <t>08/01/2024 at 15:53:42 UTC</t>
  </si>
  <si>
    <t>IBA Dosimetry</t>
  </si>
  <si>
    <t>04/10/2024 at 17:17:12 UTC</t>
  </si>
  <si>
    <t>09/12/2022 at 16:37:05 UTC</t>
  </si>
  <si>
    <t>Carlos J. Quintero</t>
  </si>
  <si>
    <t>09/28/2022 at 01:40:50 UTC</t>
  </si>
  <si>
    <t>12/22/2022 at 22:17:18 UTC</t>
  </si>
  <si>
    <t>PremiumSoft CyberTech</t>
  </si>
  <si>
    <t>07/30/2024 at 16:02:08 UTC</t>
  </si>
  <si>
    <t>Net Health</t>
  </si>
  <si>
    <t>08/29/2024 at 15:54:37 UTC</t>
  </si>
  <si>
    <t>10/23/2023 at 14:22:11 UTC</t>
  </si>
  <si>
    <t>Netsmart</t>
  </si>
  <si>
    <t>04/12/2024 at 16:36:36 UTC</t>
  </si>
  <si>
    <t>11/29/2023 at 19:44:39 UTC</t>
  </si>
  <si>
    <t>Innovation Associates</t>
  </si>
  <si>
    <t>10/10/2024 at 18:03:52 UTC</t>
  </si>
  <si>
    <t>NICE Systems</t>
  </si>
  <si>
    <t>10/20/2022 at 15:34:21 UTC</t>
  </si>
  <si>
    <t>11/09/2023 at 19:23:10 UTC</t>
  </si>
  <si>
    <t>Circassia Ltd.</t>
  </si>
  <si>
    <t>10/07/2024 at 22:23:06 UTC</t>
  </si>
  <si>
    <t>10/07/2024 at 22:23:07 UTC</t>
  </si>
  <si>
    <t>HIMSA</t>
  </si>
  <si>
    <t>12/11/2023 at 20:10:32 UTC</t>
  </si>
  <si>
    <t>Nox Medical</t>
  </si>
  <si>
    <t>10/26/2023 at 16:23:56 UTC</t>
  </si>
  <si>
    <t>Particular Software</t>
  </si>
  <si>
    <t>10/24/2023 at 01:34:29 UTC</t>
  </si>
  <si>
    <t>10/25/2024 at 15:59:09 UTC</t>
  </si>
  <si>
    <t>NV Access</t>
  </si>
  <si>
    <t>05/24/2024 at 16:48:50 UTC</t>
  </si>
  <si>
    <t>11/18/2024 at 14:26:44 UTC</t>
  </si>
  <si>
    <t>Direct Project Initiative</t>
  </si>
  <si>
    <t>03/27/2023 at 15:43:24 UTC</t>
  </si>
  <si>
    <t>Olympus</t>
  </si>
  <si>
    <t>Cosmed</t>
  </si>
  <si>
    <t>06/03/2024 at 19:06:18 UTC</t>
  </si>
  <si>
    <t>11/29/2024 at 21:12:10 UTC</t>
  </si>
  <si>
    <t>Onco, Inc.</t>
  </si>
  <si>
    <t>VisioPharm</t>
  </si>
  <si>
    <t>Chronicle Graphics</t>
  </si>
  <si>
    <t>03/01/2024 at 18:24:49 UTC</t>
  </si>
  <si>
    <t>The ScottCare Corporation</t>
  </si>
  <si>
    <t>11/20/2023 at 13:27:50 UTC</t>
  </si>
  <si>
    <t>DigitalCore, Co.Ltd</t>
  </si>
  <si>
    <t>09/16/2022 at 19:27:18 UTC</t>
  </si>
  <si>
    <t>Actian</t>
  </si>
  <si>
    <t>09/13/2022 at 18:11:38 UTC</t>
  </si>
  <si>
    <t>Apache</t>
  </si>
  <si>
    <t>12/12/2023 at 12:16:34 UTC</t>
  </si>
  <si>
    <t>Open Text</t>
  </si>
  <si>
    <t>09/09/2024 at 15:24:23 UTC</t>
  </si>
  <si>
    <t>Optivision</t>
  </si>
  <si>
    <t>11/14/2023 at 14:04:00 UTC</t>
  </si>
  <si>
    <t>10/31/2024 at 16:35:35 UTC</t>
  </si>
  <si>
    <t>11/22/2022 at 22:30:50 UTC</t>
  </si>
  <si>
    <t>Bioinformatics Laboratory, University of Ljubljana</t>
  </si>
  <si>
    <t>09/26/2022 at 02:04:24 UTC</t>
  </si>
  <si>
    <t>OfficeWork Software</t>
  </si>
  <si>
    <t>09/17/2024 at 16:21:50 UTC</t>
  </si>
  <si>
    <t>OriginLab</t>
  </si>
  <si>
    <t>12/06/2023 at 02:43:51 UTC</t>
  </si>
  <si>
    <t>Orthanc</t>
  </si>
  <si>
    <t>Active Life Scientific, Inc</t>
  </si>
  <si>
    <t>09/13/2022 at 18:11:32 UTC</t>
  </si>
  <si>
    <t>04/11/2023 at 02:19:07 UTC</t>
  </si>
  <si>
    <t>Medical Packaging Inc. (MPI)</t>
  </si>
  <si>
    <t>03/17/2023 at 19:30:49 UTC</t>
  </si>
  <si>
    <t>Palantir</t>
  </si>
  <si>
    <t>11/06/2023 at 20:27:18 UTC</t>
  </si>
  <si>
    <t>Panorama</t>
  </si>
  <si>
    <t>PaperCut</t>
  </si>
  <si>
    <t>10/16/2024 at 21:32:10 UTC</t>
  </si>
  <si>
    <t>PAR Excellence Systems, Inc.</t>
  </si>
  <si>
    <t>10/14/2024 at 01:23:20 UTC</t>
  </si>
  <si>
    <t>10/10/2023 at 18:35:02 UTC</t>
  </si>
  <si>
    <t>04/28/2023 at 21:59:27 UTC</t>
  </si>
  <si>
    <t>Parallels</t>
  </si>
  <si>
    <t>05/08/2024 at 13:48:02 UTC</t>
  </si>
  <si>
    <t>Applied Spectral Imaging (ASI)</t>
  </si>
  <si>
    <t>05/07/2024 at 03:25:32 UTC</t>
  </si>
  <si>
    <t>11/06/2023 at 20:27:14 UTC</t>
  </si>
  <si>
    <t>10/26/2023 at 19:18:32 UTC</t>
  </si>
  <si>
    <t>PedAlign Holdings, Inc</t>
  </si>
  <si>
    <t>09/21/2022 at 02:03:47 UTC</t>
  </si>
  <si>
    <t>Pegasystems</t>
  </si>
  <si>
    <t>Oculus</t>
  </si>
  <si>
    <t>04/04/2024 at 15:40:23 UTC</t>
  </si>
  <si>
    <t>PenRad Technologies, Inc.</t>
  </si>
  <si>
    <t>02/02/2024 at 03:13:49 UTC</t>
  </si>
  <si>
    <t>SwitchLane</t>
  </si>
  <si>
    <t>XMPie Inc.</t>
  </si>
  <si>
    <t>01/30/2024 at 01:10:14 UTC</t>
  </si>
  <si>
    <t>Smiths Medical</t>
  </si>
  <si>
    <t>12/02/2022 at 03:50:52 UTC</t>
  </si>
  <si>
    <t>Phonak</t>
  </si>
  <si>
    <t>Picis Clinical Solutions</t>
  </si>
  <si>
    <t>01/10/2024 at 21:11:24 UTC</t>
  </si>
  <si>
    <t>07/25/2024 at 14:43:00 UTC</t>
  </si>
  <si>
    <t>Pilotfish Technology</t>
  </si>
  <si>
    <t>Artel</t>
  </si>
  <si>
    <t>03/13/2023 at 16:48:04 UTC</t>
  </si>
  <si>
    <t>Pitney Bowes</t>
  </si>
  <si>
    <t>12/14/2022 at 23:22:55 UTC</t>
  </si>
  <si>
    <t>Planmeca</t>
  </si>
  <si>
    <t>09/28/2022 at 01:10:05 UTC</t>
  </si>
  <si>
    <t>Planview, Inc.</t>
  </si>
  <si>
    <t>01/20/2023 at 19:57:19 UTC</t>
  </si>
  <si>
    <t>Plexis Healthcare Systems</t>
  </si>
  <si>
    <t>11/14/2022 at 17:43:14 UTC</t>
  </si>
  <si>
    <t>11/28/2023 at 19:44:23 UTC</t>
  </si>
  <si>
    <t>Ritchie Vink</t>
  </si>
  <si>
    <t>02/13/2023 at 18:23:25 UTC</t>
  </si>
  <si>
    <t>Muhimbi</t>
  </si>
  <si>
    <t>11/04/2022 at 01:37:24 UTC</t>
  </si>
  <si>
    <t>Postman, Inc.</t>
  </si>
  <si>
    <t>Appeon</t>
  </si>
  <si>
    <t>07/19/2024 at 16:34:03 UTC</t>
  </si>
  <si>
    <t>03/06/2024 at 04:24:53 UTC</t>
  </si>
  <si>
    <t>Aardex Group</t>
  </si>
  <si>
    <t>11/30/2022 at 02:56:29 UTC</t>
  </si>
  <si>
    <t>BitScopic</t>
  </si>
  <si>
    <t>09/25/2024 at 01:50:27 UTC</t>
  </si>
  <si>
    <t>Bitscopic Inc.</t>
  </si>
  <si>
    <t>02/23/2024 at 02:53:38 UTC</t>
  </si>
  <si>
    <t>TeleResults Corporation</t>
  </si>
  <si>
    <t>10/02/2024 at 21:47:33 UTC</t>
  </si>
  <si>
    <t>Boston Scientific</t>
  </si>
  <si>
    <t>11/30/2022 at 02:56:23 UTC</t>
  </si>
  <si>
    <t>Prisma</t>
  </si>
  <si>
    <t>10/14/2024 at 01:23:31 UTC</t>
  </si>
  <si>
    <t>Agency for Healthcare Research and Quality</t>
  </si>
  <si>
    <t>10/14/2024 at 01:23:23 UTC</t>
  </si>
  <si>
    <t>10/11/2022 at 17:36:17 UTC</t>
  </si>
  <si>
    <t>Provation Medical</t>
  </si>
  <si>
    <t>10/11/2022 at 17:36:18 UTC</t>
  </si>
  <si>
    <t>Jeron Electronic Systems, Inc</t>
  </si>
  <si>
    <t>11/07/2023 at 17:12:43 UTC</t>
  </si>
  <si>
    <t>01/11/2024 at 17:00:35 UTC</t>
  </si>
  <si>
    <t>04/18/2024 at 18:19:35 UTC</t>
  </si>
  <si>
    <t>12/09/2024 at 18:20:04 UTC</t>
  </si>
  <si>
    <t>06/21/2024 at 22:00:41 UTC</t>
  </si>
  <si>
    <t>SmartBear Software</t>
  </si>
  <si>
    <t>09/26/2022 at 02:04:16 UTC</t>
  </si>
  <si>
    <t>Atirix Medical Systems, Inc.</t>
  </si>
  <si>
    <t>10/14/2024 at 01:23:25 UTC</t>
  </si>
  <si>
    <t>04/04/2024 at 15:40:24 UTC</t>
  </si>
  <si>
    <t>Micro Focus</t>
  </si>
  <si>
    <t>10/16/2024 at 13:10:12 UTC</t>
  </si>
  <si>
    <t>PMEase</t>
  </si>
  <si>
    <t>10/20/2022 at 15:34:08 UTC</t>
  </si>
  <si>
    <t>Qvera</t>
  </si>
  <si>
    <t>EIZO</t>
  </si>
  <si>
    <t>12/07/2022 at 20:57:28 UTC</t>
  </si>
  <si>
    <t>11/21/2023 at 21:38:50 UTC</t>
  </si>
  <si>
    <t>TSG Innovations</t>
  </si>
  <si>
    <t>10/13/2022 at 21:20:24 UTC</t>
  </si>
  <si>
    <t>RapidAI</t>
  </si>
  <si>
    <t>Siemens Healthcare</t>
  </si>
  <si>
    <t>04/05/2023 at 00:57:32 UTC</t>
  </si>
  <si>
    <t>Unlimited Technologies</t>
  </si>
  <si>
    <t>07/25/2024 at 14:42:59 UTC</t>
  </si>
  <si>
    <t>Red Lion</t>
  </si>
  <si>
    <t>10/04/2023 at 14:58:27 UTC</t>
  </si>
  <si>
    <t>10/03/2022 at 19:03:59 UTC</t>
  </si>
  <si>
    <t>Relativity ODA LLC</t>
  </si>
  <si>
    <t>09/16/2024 at 14:58:55 UTC</t>
  </si>
  <si>
    <t>Beckman Coulter Life Sciences</t>
  </si>
  <si>
    <t>03/16/2023 at 14:50:51 UTC</t>
  </si>
  <si>
    <t>12/12/2022 at 03:47:26 UTC</t>
  </si>
  <si>
    <t>Zoll</t>
  </si>
  <si>
    <t>Rauland</t>
  </si>
  <si>
    <t>11/10/2022 at 22:23:02 UTC</t>
  </si>
  <si>
    <t>RMTrack</t>
  </si>
  <si>
    <t>10/10/2022 at 16:49:10 UTC</t>
  </si>
  <si>
    <t>03/07/2023 at 03:16:07 UTC</t>
  </si>
  <si>
    <t>Rocket Software Inc.</t>
  </si>
  <si>
    <t>09/21/2022 at 02:04:13 UTC</t>
  </si>
  <si>
    <t>Rotronic Measurement Solutions</t>
  </si>
  <si>
    <t>04/15/2024 at 16:30:16 UTC</t>
  </si>
  <si>
    <t>Posit</t>
  </si>
  <si>
    <t>ARxIUM</t>
  </si>
  <si>
    <t>10/24/2023 at 01:34:28 UTC</t>
  </si>
  <si>
    <t>Westrock Solutions, LLC</t>
  </si>
  <si>
    <t>12/15/2023 at 19:32:48 UTC</t>
  </si>
  <si>
    <t>10/14/2024 at 01:23:16 UTC</t>
  </si>
  <si>
    <t>06/21/2024 at 22:00:37 UTC</t>
  </si>
  <si>
    <t>10/16/2024 at 21:31:27 UTC</t>
  </si>
  <si>
    <t>04/04/2024 at 15:40:26 UTC</t>
  </si>
  <si>
    <t>Savance Heath</t>
  </si>
  <si>
    <t>sciNote LLC</t>
  </si>
  <si>
    <t>05/01/2023 at 02:06:28 UTC</t>
  </si>
  <si>
    <t>DataMann</t>
  </si>
  <si>
    <t>12/14/2022 at 23:23:03 UTC</t>
  </si>
  <si>
    <t>ScriptPro LLC</t>
  </si>
  <si>
    <t>12/04/2024 at 19:12:03 UTC</t>
  </si>
  <si>
    <t>ScriptRunner</t>
  </si>
  <si>
    <t>11/25/2024 at 18:02:57 UTC</t>
  </si>
  <si>
    <t>09/27/2023 at 03:32:51 UTC</t>
  </si>
  <si>
    <t>MGM Computer Systems, Inc</t>
  </si>
  <si>
    <t>01/18/2024 at 02:52:59 UTC</t>
  </si>
  <si>
    <t>Selenium.org</t>
  </si>
  <si>
    <t>12/10/2024 at 18:06:44 UTC</t>
  </si>
  <si>
    <t>SEMOSS</t>
  </si>
  <si>
    <t>11/29/2024 at 20:47:28 UTC</t>
  </si>
  <si>
    <t>Siemens</t>
  </si>
  <si>
    <t>04/11/2023 at 02:19:10 UTC</t>
  </si>
  <si>
    <t>11/20/2023 at 13:27:54 UTC</t>
  </si>
  <si>
    <t>Vyaire</t>
  </si>
  <si>
    <t>11/29/2023 at 19:30:04 UTC</t>
  </si>
  <si>
    <t>Delinea</t>
  </si>
  <si>
    <t>11/06/2023 at 20:27:11 UTC</t>
  </si>
  <si>
    <t>11/29/2023 at 19:30:02 UTC</t>
  </si>
  <si>
    <t>10/30/2024 at 15:24:50 UTC</t>
  </si>
  <si>
    <t>Four Points Technology, LLC</t>
  </si>
  <si>
    <t>09/21/2022 at 02:03:46 UTC</t>
  </si>
  <si>
    <t>Sirona Dental Systems</t>
  </si>
  <si>
    <t>09/21/2022 at 02:03:39 UTC</t>
  </si>
  <si>
    <t>10/02/2024 at 21:47:30 UTC</t>
  </si>
  <si>
    <t>08/27/2024 at 02:03:00 UTC</t>
  </si>
  <si>
    <t>SYSTAT Software Inc.</t>
  </si>
  <si>
    <t>05/10/2024 at 16:22:54 UTC</t>
  </si>
  <si>
    <t>ARANZ Medical</t>
  </si>
  <si>
    <t>04/09/2024 at 11:55:14 UTC</t>
  </si>
  <si>
    <t>Grandite</t>
  </si>
  <si>
    <t>01/30/2024 at 01:11:18 UTC</t>
  </si>
  <si>
    <t>Laerdal</t>
  </si>
  <si>
    <t>10/03/2022 at 19:04:00 UTC</t>
  </si>
  <si>
    <t>Education Management Solutions</t>
  </si>
  <si>
    <t>09/24/2024 at 16:22:06 UTC</t>
  </si>
  <si>
    <t>Softeon</t>
  </si>
  <si>
    <t>04/01/2024 at 02:09:06 UTC</t>
  </si>
  <si>
    <t>10/16/2024 at 21:30:06 UTC</t>
  </si>
  <si>
    <t>02/15/2024 at 20:11:00 UTC</t>
  </si>
  <si>
    <t>11/14/2024 at 18:51:21 UTC</t>
  </si>
  <si>
    <t>09/26/2022 at 02:04:25 UTC</t>
  </si>
  <si>
    <t>FUJIFILM SonoSite, Inc</t>
  </si>
  <si>
    <t>Sorna</t>
  </si>
  <si>
    <t>10/07/2024 at 22:22:07 UTC</t>
  </si>
  <si>
    <t>03/21/2023 at 14:44:44 UTC</t>
  </si>
  <si>
    <t>Edifecs</t>
  </si>
  <si>
    <t>10/29/2024 at 19:18:10 UTC</t>
  </si>
  <si>
    <t>AtCor Medical</t>
  </si>
  <si>
    <t>02/02/2024 at 03:13:48 UTC</t>
  </si>
  <si>
    <t>SPOK</t>
  </si>
  <si>
    <t>02/23/2024 at 14:30:45 UTC</t>
  </si>
  <si>
    <t>03/20/2024 at 02:44:59 UTC</t>
  </si>
  <si>
    <t>10/25/2024 at 15:59:15 UTC</t>
  </si>
  <si>
    <t>VMware Tanzu Labs</t>
  </si>
  <si>
    <t>09/14/2022 at 19:24:07 UTC</t>
  </si>
  <si>
    <t>Productivity-Quality Systems, Inc.</t>
  </si>
  <si>
    <t>09/26/2022 at 02:04:15 UTC</t>
  </si>
  <si>
    <t>09/26/2022 at 02:04:22 UTC</t>
  </si>
  <si>
    <t>OpenJS Foundation</t>
  </si>
  <si>
    <t>06/10/2024 at 15:39:12 UTC</t>
  </si>
  <si>
    <t>SquaredUp</t>
  </si>
  <si>
    <t>N software</t>
  </si>
  <si>
    <t>06/21/2024 at 02:48:53 UTC</t>
  </si>
  <si>
    <t>Abbott Informatics</t>
  </si>
  <si>
    <t>03/01/2023 at 22:30:31 UTC</t>
  </si>
  <si>
    <t>04/08/2024 at 15:17:26 UTC</t>
  </si>
  <si>
    <t>04/16/2024 at 15:43:02 UTC</t>
  </si>
  <si>
    <t>10/20/2022 at 15:34:10 UTC</t>
  </si>
  <si>
    <t>11/26/2022 at 01:18:24 UTC</t>
  </si>
  <si>
    <t>09/23/2022 at 21:34:58 UTC</t>
  </si>
  <si>
    <t>Stemcell Technologies Inc (Stemsoft)</t>
  </si>
  <si>
    <t>03/01/2023 at 18:53:00 UTC</t>
  </si>
  <si>
    <t>12/20/2022 at 21:00:40 UTC</t>
  </si>
  <si>
    <t>Stimulsoft</t>
  </si>
  <si>
    <t>09/21/2022 at 02:03:45 UTC</t>
  </si>
  <si>
    <t>KARL STORZ Endoscopy</t>
  </si>
  <si>
    <t>01/08/2024 at 02:39:46 UTC</t>
  </si>
  <si>
    <t>12/20/2022 at 16:43:29 UTC</t>
  </si>
  <si>
    <t>09/14/2022 at 19:24:05 UTC</t>
  </si>
  <si>
    <t>09/26/2022 at 02:04:17 UTC</t>
  </si>
  <si>
    <t>Sun Nuclear Corporation</t>
  </si>
  <si>
    <t>06/18/2024 at 21:37:09 UTC</t>
  </si>
  <si>
    <t>08/07/2024 at 15:52:38 UTC</t>
  </si>
  <si>
    <t>08/07/2024 at 15:52:39 UTC</t>
  </si>
  <si>
    <t>09/22/2023 at 14:26:44 UTC</t>
  </si>
  <si>
    <t>Hygiena</t>
  </si>
  <si>
    <t>Clinical Architecture</t>
  </si>
  <si>
    <t>01/31/2023 at 03:11:07 UTC</t>
  </si>
  <si>
    <t>01/02/2025 at 19:25:01 UTC</t>
  </si>
  <si>
    <t>Fuji Film USA</t>
  </si>
  <si>
    <t>11/29/2024 at 20:47:47 UTC</t>
  </si>
  <si>
    <t>Cardinal Health</t>
  </si>
  <si>
    <t>06/07/2024 at 18:33:16 UTC</t>
  </si>
  <si>
    <t>03/08/2024 at 03:43:26 UTC</t>
  </si>
  <si>
    <t>11/06/2024 at 02:07:49 UTC</t>
  </si>
  <si>
    <t>06/18/2024 at 16:24:55 UTC</t>
  </si>
  <si>
    <t>Swisslog</t>
  </si>
  <si>
    <t>07/15/2024 at 19:19:53 UTC</t>
  </si>
  <si>
    <t>07/12/2024 at 02:56:02 UTC</t>
  </si>
  <si>
    <t>Trisys, Inc.</t>
  </si>
  <si>
    <t>01/18/2024 at 02:53:33 UTC</t>
  </si>
  <si>
    <t>Getinge Group</t>
  </si>
  <si>
    <t>04/28/2023 at 18:46:20 UTC</t>
  </si>
  <si>
    <t>04/12/2024 at 16:24:16 UTC</t>
  </si>
  <si>
    <t>TELCOR</t>
  </si>
  <si>
    <t>02/15/2024 at 20:11:04 UTC</t>
  </si>
  <si>
    <t>Cooper-Atkins</t>
  </si>
  <si>
    <t>04/05/2023 at 00:57:28 UTC</t>
  </si>
  <si>
    <t>02/02/2023 at 16:59:13 UTC</t>
  </si>
  <si>
    <t>TeleHealth Services</t>
  </si>
  <si>
    <t>10/16/2024 at 12:38:17 UTC</t>
  </si>
  <si>
    <t>08/29/2024 at 15:54:52 UTC</t>
  </si>
  <si>
    <t>01/08/2025 at 18:20:23 UTC</t>
  </si>
  <si>
    <t>TeleTracking</t>
  </si>
  <si>
    <t>03/27/2023 at 15:43:22 UTC</t>
  </si>
  <si>
    <t>TreeAge Software Inc.</t>
  </si>
  <si>
    <t>11/22/2023 at 20:45:36 UTC</t>
  </si>
  <si>
    <t>Unitron</t>
  </si>
  <si>
    <t>11/16/2023 at 14:09:57 UTC</t>
  </si>
  <si>
    <t>Trividia Health</t>
  </si>
  <si>
    <t>09/21/2022 at 02:04:11 UTC</t>
  </si>
  <si>
    <t>pCare</t>
  </si>
  <si>
    <t>Tyler Technologies</t>
  </si>
  <si>
    <t>02/12/2024 at 20:36:29 UTC</t>
  </si>
  <si>
    <t>10/12/2022 at 17:42:22 UTC</t>
  </si>
  <si>
    <t>10/19/2022 at 17:29:36 UTC</t>
  </si>
  <si>
    <t>Cytiva</t>
  </si>
  <si>
    <t>Olympus America</t>
  </si>
  <si>
    <t>09/21/2022 at 02:03:42 UTC</t>
  </si>
  <si>
    <t>08/02/2023 at 15:21:13 UTC</t>
  </si>
  <si>
    <t>05/10/2024 at 16:22:52 UTC</t>
  </si>
  <si>
    <t>SunQuest</t>
  </si>
  <si>
    <t>12/06/2022 at 02:46:52 UTC</t>
  </si>
  <si>
    <t>Vertical LLC</t>
  </si>
  <si>
    <t>01/11/2024 at 17:00:36 UTC</t>
  </si>
  <si>
    <t>Consensus Medical Systems, Inc</t>
  </si>
  <si>
    <t>10/25/2024 at 15:59:02 UTC</t>
  </si>
  <si>
    <t>Veracity Group Inc.</t>
  </si>
  <si>
    <t>03/27/2024 at 02:56:36 UTC</t>
  </si>
  <si>
    <t>American Dynamics</t>
  </si>
  <si>
    <t>12/21/2023 at 21:14:00 UTC</t>
  </si>
  <si>
    <t>01/16/2024 at 21:05:41 UTC</t>
  </si>
  <si>
    <t>Visage Imaging</t>
  </si>
  <si>
    <t>11/20/2023 at 13:27:53 UTC</t>
  </si>
  <si>
    <t>Visiun</t>
  </si>
  <si>
    <t>10/29/2024 at 19:18:17 UTC</t>
  </si>
  <si>
    <t>Visual Paradigm International Limited</t>
  </si>
  <si>
    <t>Vital Images</t>
  </si>
  <si>
    <t>11/28/2022 at 02:39:50 UTC</t>
  </si>
  <si>
    <t>Cleo</t>
  </si>
  <si>
    <t>09/16/2022 at 16:45:25 UTC</t>
  </si>
  <si>
    <t>Katalina Technologies Pty Ltd.</t>
  </si>
  <si>
    <t>02/16/2024 at 17:20:00 UTC</t>
  </si>
  <si>
    <t>Voicebrook</t>
  </si>
  <si>
    <t>RadView Software Ltd.</t>
  </si>
  <si>
    <t>WellSky</t>
  </si>
  <si>
    <t>04/19/2024 at 03:49:29 UTC</t>
  </si>
  <si>
    <t>Wiiisdom</t>
  </si>
  <si>
    <t>07/19/2024 at 02:55:01 UTC</t>
  </si>
  <si>
    <t>DSX Access Systems, Inc.</t>
  </si>
  <si>
    <t>03/11/2024 at 14:14:36 UTC</t>
  </si>
  <si>
    <t>Winscribe</t>
  </si>
  <si>
    <t>11/26/2022 at 00:53:41 UTC</t>
  </si>
  <si>
    <t>Critical Tools, Inc.</t>
  </si>
  <si>
    <t>11/18/2024 at 14:26:40 UTC</t>
  </si>
  <si>
    <t>03/29/2023 at 03:18:43 UTC</t>
  </si>
  <si>
    <t>Quetech, Ltd.</t>
  </si>
  <si>
    <t>10/13/2023 at 18:32:52 UTC</t>
  </si>
  <si>
    <t>WoundVision</t>
  </si>
  <si>
    <t>03/27/2024 at 02:56:34 UTC</t>
  </si>
  <si>
    <t>WR Medical Electronics Co.</t>
  </si>
  <si>
    <t>11/29/2024 at 20:47:49 UTC</t>
  </si>
  <si>
    <t>Xceed</t>
  </si>
  <si>
    <t>09/25/2024 at 01:50:21 UTC</t>
  </si>
  <si>
    <t>01/05/2023 at 01:50:57 UTC</t>
  </si>
  <si>
    <t>11/03/2023 at 03:22:45 UTC</t>
  </si>
  <si>
    <t>Xerox</t>
  </si>
  <si>
    <t>09/27/2023 at 03:32:54 UTC</t>
  </si>
  <si>
    <t>Zebra Technologies</t>
  </si>
  <si>
    <t>12/06/2022 at 02:46:54 UTC</t>
  </si>
  <si>
    <t>06/18/2024 at 16:24:58 UTC</t>
  </si>
  <si>
    <t>Esri</t>
  </si>
  <si>
    <t>12/13/2024 at 19:38:08 UTC</t>
  </si>
  <si>
    <t>BCS Systems</t>
  </si>
  <si>
    <t>11/20/2024 at 14:40:32 UTC</t>
  </si>
  <si>
    <t>Biscom</t>
  </si>
  <si>
    <t>11/16/2023 at 20:31:16 UTC</t>
  </si>
  <si>
    <t>BlackBerry</t>
  </si>
  <si>
    <t>11/18/2024 at 14:26:41 UTC</t>
  </si>
  <si>
    <t>MGC Diagnostics</t>
  </si>
  <si>
    <t>08/29/2024 at 15:54:51 UTC</t>
  </si>
  <si>
    <t>Unisys</t>
  </si>
  <si>
    <t>09/19/2024 at 17:25:12 UTC</t>
  </si>
  <si>
    <t>CAST</t>
  </si>
  <si>
    <t>01/30/2024 at 01:07:44 UTC</t>
  </si>
  <si>
    <t>01/23/2024 at 01:30:41 UTC</t>
  </si>
  <si>
    <t>CommVault Systems</t>
  </si>
  <si>
    <t>11/09/2023 at 02:15:42 UTC</t>
  </si>
  <si>
    <t>Accruent</t>
  </si>
  <si>
    <t>12/09/2022 at 19:30:32 UTC</t>
  </si>
  <si>
    <t>12/26/2023 at 22:06:16 UTC</t>
  </si>
  <si>
    <t>12/02/2024 at 22:51:11 UTC</t>
  </si>
  <si>
    <t>01/18/2024 at 02:50:39 UTC</t>
  </si>
  <si>
    <t>Login VSI</t>
  </si>
  <si>
    <t>02/24/2023 at 15:20:26 UTC</t>
  </si>
  <si>
    <t>Attunity</t>
  </si>
  <si>
    <t>07/09/2019 at 07:53:35 UTC</t>
  </si>
  <si>
    <t>12/19/2024 at 15:06:50 UTC</t>
  </si>
  <si>
    <t>GN Otometrics</t>
  </si>
  <si>
    <t>06/21/2024 at 22:00:36 UTC</t>
  </si>
  <si>
    <t>12/10/2024 at 18:06:45 UTC</t>
  </si>
  <si>
    <t>ShareGate</t>
  </si>
  <si>
    <t>Splashtop Inc.</t>
  </si>
  <si>
    <t>10/23/2023 at 14:32:46 UTC</t>
  </si>
  <si>
    <t>08/15/2024 at 17:13:08 UTC</t>
  </si>
  <si>
    <t>FMS</t>
  </si>
  <si>
    <t>09/16/2024 at 14:58:53 UTC</t>
  </si>
  <si>
    <t>09/16/2024 at 14:58:54 UTC</t>
  </si>
  <si>
    <t>01/04/2024 at 03:41:37 UTC</t>
  </si>
  <si>
    <t>TechSmith</t>
  </si>
  <si>
    <t>06/21/2024 at 22:00:33 UTC</t>
  </si>
  <si>
    <t>Operation Technology, Inc.</t>
  </si>
  <si>
    <t>06/05/2024 at 16:37:42 UTC</t>
  </si>
  <si>
    <t>Mendeley Ltd.</t>
  </si>
  <si>
    <t>06/18/2024 at 21:36:03 UTC</t>
  </si>
  <si>
    <t>10/29/2024 at 19:18:25 UTC</t>
  </si>
  <si>
    <t>Matchware, Inc.</t>
  </si>
  <si>
    <t>Ncover</t>
  </si>
  <si>
    <t>09/20/2022 at 17:58:35 UTC</t>
  </si>
  <si>
    <t>Upland Software, Inc</t>
  </si>
  <si>
    <t>09/26/2024 at 17:51:10 UTC</t>
  </si>
  <si>
    <t>Euclid Medical Products</t>
  </si>
  <si>
    <t>09/26/2022 at 02:04:18 UTC</t>
  </si>
  <si>
    <t>Daktronics</t>
  </si>
  <si>
    <t>02/28/2023 at 03:24:29 UTC</t>
  </si>
  <si>
    <t>Addinsoft</t>
  </si>
  <si>
    <t>11/08/2024 at 02:03:24 UTC</t>
  </si>
  <si>
    <t>12/14/2023 at 21:56:34 UTC</t>
  </si>
  <si>
    <t>01/10/2023 at 02:26:13 UTC</t>
  </si>
  <si>
    <t>12/21/2023 at 21:23:16 UTC</t>
  </si>
  <si>
    <t>03/19/2024 at 00:47:22 UTC</t>
  </si>
  <si>
    <t>06/15/2020 at 14:09:48 UTC</t>
  </si>
  <si>
    <t>09/19/2024 at 17:25:22 UTC</t>
  </si>
  <si>
    <t>02/23/2024 at 14:30:51 UTC</t>
  </si>
  <si>
    <t>08/28/2024 at 17:43:08 UTC</t>
  </si>
  <si>
    <t>03/19/2024 at 00:47:19 UTC</t>
  </si>
  <si>
    <t>11/25/2024 at 18:02:52 UTC</t>
  </si>
  <si>
    <t>12/04/2019 at 08:22:49 UTC</t>
  </si>
  <si>
    <t>04/13/2023 at 18:10:04 UTC</t>
  </si>
  <si>
    <t>07/15/2024 at 19:50:22 UTC</t>
  </si>
  <si>
    <t>06/10/2024 at 15:39:10 UTC</t>
  </si>
  <si>
    <t>07/19/2024 at 16:33:48 UTC</t>
  </si>
  <si>
    <t>08/27/2024 at 15:31:04 UTC</t>
  </si>
  <si>
    <t>01/17/2024 at 03:51:56 UTC</t>
  </si>
  <si>
    <t>03/27/2023 at 02:34:36 UTC</t>
  </si>
  <si>
    <t>05/19/2020 at 12:52:35 UTC</t>
  </si>
  <si>
    <t>12/20/2022 at 16:43:28 UTC</t>
  </si>
  <si>
    <t>06/05/2020 at 00:37:01 UTC</t>
  </si>
  <si>
    <t>05/09/2024 at 19:08:28 UTC</t>
  </si>
  <si>
    <t>03/16/2021 at 15:23:38 UTC</t>
  </si>
  <si>
    <t>05/14/2024 at 21:22:57 UTC</t>
  </si>
  <si>
    <t>07/19/2024 at 16:33:53 UTC</t>
  </si>
  <si>
    <t>07/23/2019 at 12:07:56 UTC</t>
  </si>
  <si>
    <t>03/12/2019 at 19:53:20 UTC</t>
  </si>
  <si>
    <t>04/14/2021 at 08:26:48 UTC</t>
  </si>
  <si>
    <t>03/17/2023 at 19:30:51 UTC</t>
  </si>
  <si>
    <t>04/01/2024 at 02:09:07 UTC</t>
  </si>
  <si>
    <t>02/16/2024 at 17:20:03 UTC</t>
  </si>
  <si>
    <t>09/26/2024 at 17:51:21 UTC</t>
  </si>
  <si>
    <t>02/08/2024 at 15:42:13 UTC</t>
  </si>
  <si>
    <t>04/05/2019 at 09:56:22 UTC</t>
  </si>
  <si>
    <t>11/26/2022 at 00:53:38 UTC</t>
  </si>
  <si>
    <t>11/04/2020 at 11:05:40 UTC</t>
  </si>
  <si>
    <t>10/04/2024 at 20:50:51 UTC</t>
  </si>
  <si>
    <t>08/29/2024 at 15:54:53 UTC</t>
  </si>
  <si>
    <t>08/06/2019 at 13:18:15 UTC</t>
  </si>
  <si>
    <t>11/14/2019 at 09:26:33 UTC</t>
  </si>
  <si>
    <t>11/06/2023 at 20:27:13 UTC</t>
  </si>
  <si>
    <t>06/03/2024 at 16:54:53 UTC</t>
  </si>
  <si>
    <t>08/29/2024 at 15:54:59 UTC</t>
  </si>
  <si>
    <t>02/19/2021 at 09:45:52 UTC</t>
  </si>
  <si>
    <t>09/23/2024 at 17:31:18 UTC</t>
  </si>
  <si>
    <t>06/06/2024 at 16:17:56 UTC</t>
  </si>
  <si>
    <t>11/29/2024 at 20:47:24 UTC</t>
  </si>
  <si>
    <t>OneTab</t>
  </si>
  <si>
    <t>Stancil Corp</t>
  </si>
  <si>
    <t>02/22/2024 at 03:38:36 UTC</t>
  </si>
  <si>
    <t>i-PRO Americas</t>
  </si>
  <si>
    <t>07/03/2024 at 19:34:08 UTC</t>
  </si>
  <si>
    <t>Xappex</t>
  </si>
  <si>
    <t>12/06/2023 at 02:43:57 UTC</t>
  </si>
  <si>
    <t>Palisade</t>
  </si>
  <si>
    <t>09/17/2024 at 16:21:52 UTC</t>
  </si>
  <si>
    <t>Real Seven</t>
  </si>
  <si>
    <t>09/14/2022 at 19:24:10 UTC</t>
  </si>
  <si>
    <t>webSupergoo</t>
  </si>
  <si>
    <t>12/04/2024 at 19:12:02 UTC</t>
  </si>
  <si>
    <t>Field Effect</t>
  </si>
  <si>
    <t>04/16/2024 at 15:23:33 UTC</t>
  </si>
  <si>
    <t>One Identity</t>
  </si>
  <si>
    <t>08/06/2019 at 12:30:26 UTC</t>
  </si>
  <si>
    <t>Alfresco</t>
  </si>
  <si>
    <t>05/26/2020 at 10:24:33 UTC</t>
  </si>
  <si>
    <t>Actual Tools</t>
  </si>
  <si>
    <t>07/12/2019 at 13:41:53 UTC</t>
  </si>
  <si>
    <t>07/09/2019 at 15:10:27 UTC</t>
  </si>
  <si>
    <t>06/22/2019 at 16:37:29 UTC</t>
  </si>
  <si>
    <t>06/03/2024 at 19:05:43 UTC</t>
  </si>
  <si>
    <t>AgilePoint</t>
  </si>
  <si>
    <t>05/24/2024 at 16:49:06 UTC</t>
  </si>
  <si>
    <t>04/15/2021 at 14:46:52 UTC</t>
  </si>
  <si>
    <t>Alloy Software</t>
  </si>
  <si>
    <t>02/16/2024 at 17:19:48 UTC</t>
  </si>
  <si>
    <t>Analyse-It</t>
  </si>
  <si>
    <t>Geotech</t>
  </si>
  <si>
    <t>10/26/2020 at 08:21:09 UTC</t>
  </si>
  <si>
    <t>Alpha II</t>
  </si>
  <si>
    <t>05/04/2020 at 12:10:19 UTC</t>
  </si>
  <si>
    <t>Ant-Contrib Project</t>
  </si>
  <si>
    <t>Antigen Plus</t>
  </si>
  <si>
    <t>11/01/2022 at 15:15:05 UTC</t>
  </si>
  <si>
    <t>American Printing House for the Blind, Inc.</t>
  </si>
  <si>
    <t>11/02/2022 at 04:10:20 UTC</t>
  </si>
  <si>
    <t>Apple</t>
  </si>
  <si>
    <t>06/27/2019 at 12:47:40 UTC</t>
  </si>
  <si>
    <t>Rockwell Automation</t>
  </si>
  <si>
    <t>04/23/2020 at 16:11:09 UTC</t>
  </si>
  <si>
    <t>A Must in Every Office BV</t>
  </si>
  <si>
    <t>05/06/2019 at 08:31:01 UTC</t>
  </si>
  <si>
    <t>04/29/2020 at 11:29:27 UTC</t>
  </si>
  <si>
    <t>11/01/2022 at 02:20:57 UTC</t>
  </si>
  <si>
    <t>CareDx Inc.</t>
  </si>
  <si>
    <t>ColorID, LLC</t>
  </si>
  <si>
    <t>04/12/2024 at 16:36:35 UTC</t>
  </si>
  <si>
    <t>ATMOS MedizinTechnik GmbH &amp; Co. KG</t>
  </si>
  <si>
    <t>08/28/2024 at 17:43:04 UTC</t>
  </si>
  <si>
    <t>07/15/2024 at 19:06:14 UTC</t>
  </si>
  <si>
    <t>Dichotics, Inc</t>
  </si>
  <si>
    <t>06/30/2020 at 15:38:20 UTC</t>
  </si>
  <si>
    <t>Y Soft Corporation</t>
  </si>
  <si>
    <t>03/27/2023 at 02:34:35 UTC</t>
  </si>
  <si>
    <t>Autodesk, Inc.</t>
  </si>
  <si>
    <t>01/23/2024 at 01:30:39 UTC</t>
  </si>
  <si>
    <t>Autofac Contributors</t>
  </si>
  <si>
    <t>Avaya</t>
  </si>
  <si>
    <t>02/19/2021 at 09:45:51 UTC</t>
  </si>
  <si>
    <t>Schrodinger, LLC</t>
  </si>
  <si>
    <t>Sonomed Escalon</t>
  </si>
  <si>
    <t>01/22/2021 at 08:11:44 UTC</t>
  </si>
  <si>
    <t>01/11/2024 at 17:00:43 UTC</t>
  </si>
  <si>
    <t>BCC Software</t>
  </si>
  <si>
    <t>02/07/2024 at 17:47:17 UTC</t>
  </si>
  <si>
    <t>Benjamin Rose Institute on Aging (BRI)</t>
  </si>
  <si>
    <t>07/01/2024 at 15:53:21 UTC</t>
  </si>
  <si>
    <t>Gas Technology Institute (gti)</t>
  </si>
  <si>
    <t>12/21/2023 at 21:23:17 UTC</t>
  </si>
  <si>
    <t>Thought Technology Ltd</t>
  </si>
  <si>
    <t>Applied Maths</t>
  </si>
  <si>
    <t>02/22/2023 at 19:05:51 UTC</t>
  </si>
  <si>
    <t>Bio-Optronics</t>
  </si>
  <si>
    <t>05/29/2020 at 11:23:24 UTC</t>
  </si>
  <si>
    <t>Blueforce Development</t>
  </si>
  <si>
    <t>01/05/2023 at 01:50:56 UTC</t>
  </si>
  <si>
    <t>Blue Jeans Network</t>
  </si>
  <si>
    <t>02/06/2023 at 20:28:09 UTC</t>
  </si>
  <si>
    <t>FotoFinder Systems, Inc</t>
  </si>
  <si>
    <t>11/14/2022 at 17:43:07 UTC</t>
  </si>
  <si>
    <t>BonitaSoft</t>
  </si>
  <si>
    <t>11/04/2020 at 11:05:39 UTC</t>
  </si>
  <si>
    <t>Embarcadero Technologies</t>
  </si>
  <si>
    <t>05/28/2019 at 12:17:30 UTC</t>
  </si>
  <si>
    <t>Kinoka Minolta</t>
  </si>
  <si>
    <t>11/30/2022 at 02:56:27 UTC</t>
  </si>
  <si>
    <t>01/26/2021 at 16:20:24 UTC</t>
  </si>
  <si>
    <t>Email-Unlimited</t>
  </si>
  <si>
    <t>11/27/2019 at 16:17:46 UTC</t>
  </si>
  <si>
    <t>Bullzip</t>
  </si>
  <si>
    <t>02/02/2024 at 03:13:39 UTC</t>
  </si>
  <si>
    <t>10/20/2022 at 15:34:25 UTC</t>
  </si>
  <si>
    <t>U.T. Southwestern Medical Center</t>
  </si>
  <si>
    <t>04/29/2019 at 14:55:11 UTC</t>
  </si>
  <si>
    <t>QUALCOMM</t>
  </si>
  <si>
    <t>Welch Allyn</t>
  </si>
  <si>
    <t>08/17/2021 at 15:34:14 UTC</t>
  </si>
  <si>
    <t>Capsa Solutions, LLC</t>
  </si>
  <si>
    <t>07/12/2019 at 13:41:59 UTC</t>
  </si>
  <si>
    <t>08/26/2020 at 16:31:50 UTC</t>
  </si>
  <si>
    <t>Department of Veterans Affairs, OIT Enterprise Program Management Office</t>
  </si>
  <si>
    <t>12/14/2023 at 13:36:52 UTC</t>
  </si>
  <si>
    <t>07/23/2019 at 12:07:55 UTC</t>
  </si>
  <si>
    <t>AAMC</t>
  </si>
  <si>
    <t>11/25/2019 at 15:50:03 UTC</t>
  </si>
  <si>
    <t>07/02/2019 at 12:11:47 UTC</t>
  </si>
  <si>
    <t>Medpace</t>
  </si>
  <si>
    <t>Igitur</t>
  </si>
  <si>
    <t>12/12/2022 at 03:45:08 UTC</t>
  </si>
  <si>
    <t>02/16/2023 at 18:15:08 UTC</t>
  </si>
  <si>
    <t>Sarach Technologies</t>
  </si>
  <si>
    <t>02/22/2023 at 19:05:50 UTC</t>
  </si>
  <si>
    <t>10/06/2023 at 13:46:59 UTC</t>
  </si>
  <si>
    <t>The American Orthotic &amp; Prosthetic Association</t>
  </si>
  <si>
    <t>11/16/2018 at 13:01:55 UTC</t>
  </si>
  <si>
    <t>Colectica</t>
  </si>
  <si>
    <t>03/04/2021 at 13:01:36 UTC</t>
  </si>
  <si>
    <t>10/23/2018 at 21:44:41 UTC</t>
  </si>
  <si>
    <t>Roger Zander</t>
  </si>
  <si>
    <t>06/30/2020 at 15:38:25 UTC</t>
  </si>
  <si>
    <t>Kohsuke Kawaguchi</t>
  </si>
  <si>
    <t>07/15/2021 at 20:42:47 UTC</t>
  </si>
  <si>
    <t>11/28/2018 at 07:50:10 UTC</t>
  </si>
  <si>
    <t>Brilogy Corporation</t>
  </si>
  <si>
    <t>09/28/2022 at 01:40:49 UTC</t>
  </si>
  <si>
    <t>Grig Software</t>
  </si>
  <si>
    <t>10/14/2024 at 01:22:49 UTC</t>
  </si>
  <si>
    <t>Sam Rueby</t>
  </si>
  <si>
    <t>CS-RCS GmbH</t>
  </si>
  <si>
    <t>05/23/2019 at 11:52:07 UTC</t>
  </si>
  <si>
    <t>symplr</t>
  </si>
  <si>
    <t>Multi-Health Systems Inc.</t>
  </si>
  <si>
    <t>12/03/2020 at 22:38:31 UTC</t>
  </si>
  <si>
    <t>08/17/2022 at 19:38:57 UTC</t>
  </si>
  <si>
    <t>Tekscan</t>
  </si>
  <si>
    <t>02/22/2023 at 19:05:52 UTC</t>
  </si>
  <si>
    <t>Couchbase</t>
  </si>
  <si>
    <t>04/26/2023 at 01:58:19 UTC</t>
  </si>
  <si>
    <t>07/24/2020 at 09:24:37 UTC</t>
  </si>
  <si>
    <t>07/31/2020 at 11:13:42 UTC</t>
  </si>
  <si>
    <t>CyberCare Health Network, LLC</t>
  </si>
  <si>
    <t>04/09/2019 at 13:54:27 UTC</t>
  </si>
  <si>
    <t>Iterate GmbH</t>
  </si>
  <si>
    <t>07/12/2024 at 02:55:56 UTC</t>
  </si>
  <si>
    <t>04/08/2024 at 14:58:02 UTC</t>
  </si>
  <si>
    <t>DameWare (part of SolarWinds)</t>
  </si>
  <si>
    <t>04/17/2023 at 16:02:57 UTC</t>
  </si>
  <si>
    <t>04/16/2019 at 08:02:57 UTC</t>
  </si>
  <si>
    <t>06/28/2019 at 13:56:10 UTC</t>
  </si>
  <si>
    <t>SAITECH</t>
  </si>
  <si>
    <t>03/16/2021 at 15:37:42 UTC</t>
  </si>
  <si>
    <t>09/14/2022 at 19:24:11 UTC</t>
  </si>
  <si>
    <t>01/10/2019 at 20:34:33 UTC</t>
  </si>
  <si>
    <t>DataRobot</t>
  </si>
  <si>
    <t>10/07/2024 at 22:23:14 UTC</t>
  </si>
  <si>
    <t>bioMerieux</t>
  </si>
  <si>
    <t>06/03/2024 at 19:06:14 UTC</t>
  </si>
  <si>
    <t>The GNOME Project</t>
  </si>
  <si>
    <t>Philippe PUECH</t>
  </si>
  <si>
    <t>03/20/2019 at 15:35:19 UTC</t>
  </si>
  <si>
    <t>Discover Technologies</t>
  </si>
  <si>
    <t>05/12/2020 at 15:54:24 UTC</t>
  </si>
  <si>
    <t>12/05/2022 at 17:52:50 UTC</t>
  </si>
  <si>
    <t>Best Wave</t>
  </si>
  <si>
    <t>09/30/2020 at 12:11:46 UTC</t>
  </si>
  <si>
    <t>Apelon</t>
  </si>
  <si>
    <t>11/28/2018 at 07:49:55 UTC</t>
  </si>
  <si>
    <t>Docassemble</t>
  </si>
  <si>
    <t>03/27/2024 at 02:56:28 UTC</t>
  </si>
  <si>
    <t>Docker, Inc.</t>
  </si>
  <si>
    <t>01/14/2020 at 08:55:48 UTC</t>
  </si>
  <si>
    <t>07/24/2024 at 04:25:11 UTC</t>
  </si>
  <si>
    <t>MSCRM-Addons</t>
  </si>
  <si>
    <t>02/22/2021 at 21:50:05 UTC</t>
  </si>
  <si>
    <t>Neevia Technology</t>
  </si>
  <si>
    <t>08/28/2024 at 17:43:07 UTC</t>
  </si>
  <si>
    <t>DocuSign</t>
  </si>
  <si>
    <t>11/14/2023 at 14:03:20 UTC</t>
  </si>
  <si>
    <t>Health Net Federal Services</t>
  </si>
  <si>
    <t>05/19/2020 at 12:47:21 UTC</t>
  </si>
  <si>
    <t>09/16/2022 at 19:27:23 UTC</t>
  </si>
  <si>
    <t>DXC Technology</t>
  </si>
  <si>
    <t>06/03/2024 at 19:06:16 UTC</t>
  </si>
  <si>
    <t>ksoft</t>
  </si>
  <si>
    <t>09/27/2021 at 01:34:26 UTC</t>
  </si>
  <si>
    <t>Harris Computer</t>
  </si>
  <si>
    <t>04/20/2020 at 22:42:32 UTC</t>
  </si>
  <si>
    <t>ediFabric</t>
  </si>
  <si>
    <t>04/02/2024 at 02:04:54 UTC</t>
  </si>
  <si>
    <t>eHealthVitals</t>
  </si>
  <si>
    <t>10/12/2022 at 15:00:59 UTC</t>
  </si>
  <si>
    <t>03/12/2019 at 19:53:17 UTC</t>
  </si>
  <si>
    <t>Embrava</t>
  </si>
  <si>
    <t>01/08/2024 at 16:00:15 UTC</t>
  </si>
  <si>
    <t>EMC</t>
  </si>
  <si>
    <t>08/14/2019 at 15:05:37 UTC</t>
  </si>
  <si>
    <t>EMCO Software</t>
  </si>
  <si>
    <t>11/07/2024 at 19:09:17 UTC</t>
  </si>
  <si>
    <t>Clarivate Analytics</t>
  </si>
  <si>
    <t>09/19/2024 at 17:25:25 UTC</t>
  </si>
  <si>
    <t>Itamar Medical</t>
  </si>
  <si>
    <t>02/12/2024 at 20:36:24 UTC</t>
  </si>
  <si>
    <t>PENTAX Medical</t>
  </si>
  <si>
    <t>09/16/2020 at 11:56:49 UTC</t>
  </si>
  <si>
    <t>Enesys</t>
  </si>
  <si>
    <t>09/04/2020 at 09:19:13 UTC</t>
  </si>
  <si>
    <t>Analytic Technologies</t>
  </si>
  <si>
    <t>10/19/2022 at 17:29:35 UTC</t>
  </si>
  <si>
    <t>Keyfactor</t>
  </si>
  <si>
    <t>Epic, Inc.</t>
  </si>
  <si>
    <t>10/17/2018 at 13:07:47 UTC</t>
  </si>
  <si>
    <t>07/23/2020 at 10:35:46 UTC</t>
  </si>
  <si>
    <t>Atif Aziz</t>
  </si>
  <si>
    <t>04/16/2020 at 14:49:33 UTC</t>
  </si>
  <si>
    <t>VASCO</t>
  </si>
  <si>
    <t>T System</t>
  </si>
  <si>
    <t>07/01/2024 at 19:39:36 UTC</t>
  </si>
  <si>
    <t>06/30/2020 at 16:04:57 UTC</t>
  </si>
  <si>
    <t>04/04/2024 at 15:40:31 UTC</t>
  </si>
  <si>
    <t>Noldus</t>
  </si>
  <si>
    <t>10/24/2023 at 01:34:31 UTC</t>
  </si>
  <si>
    <t>Apex Custom Solutions</t>
  </si>
  <si>
    <t>Cjwdev Limited</t>
  </si>
  <si>
    <t>09/11/2019 at 07:14:04 UTC</t>
  </si>
  <si>
    <t>fo-dicom contributors</t>
  </si>
  <si>
    <t>02/09/2021 at 15:02:14 UTC</t>
  </si>
  <si>
    <t>MModal IP LLC</t>
  </si>
  <si>
    <t>06/16/2020 at 07:59:38 UTC</t>
  </si>
  <si>
    <t>XSENSOR Technology</t>
  </si>
  <si>
    <t>05/16/2024 at 15:53:27 UTC</t>
  </si>
  <si>
    <t>Texcel Systems, Inc.</t>
  </si>
  <si>
    <t>10/08/2020 at 13:16:37 UTC</t>
  </si>
  <si>
    <t>Barbecana</t>
  </si>
  <si>
    <t>Bardsoftware</t>
  </si>
  <si>
    <t>09/19/2024 at 17:25:07 UTC</t>
  </si>
  <si>
    <t>CDC</t>
  </si>
  <si>
    <t>Zoolz</t>
  </si>
  <si>
    <t>03/16/2023 at 03:46:32 UTC</t>
  </si>
  <si>
    <t>GeoServer</t>
  </si>
  <si>
    <t>10/25/2022 at 19:18:11 UTC</t>
  </si>
  <si>
    <t>gMed</t>
  </si>
  <si>
    <t>03/26/2021 at 10:14:23 UTC</t>
  </si>
  <si>
    <t>Git Extensions</t>
  </si>
  <si>
    <t>Goliath Technologies</t>
  </si>
  <si>
    <t>04/20/2020 at 22:42:33 UTC</t>
  </si>
  <si>
    <t>Grammarly</t>
  </si>
  <si>
    <t>12/11/2023 at 14:11:24 UTC</t>
  </si>
  <si>
    <t>Ontotext</t>
  </si>
  <si>
    <t>10/25/2022 at 19:17:56 UTC</t>
  </si>
  <si>
    <t>SDM Software</t>
  </si>
  <si>
    <t>02/12/2024 at 20:36:38 UTC</t>
  </si>
  <si>
    <t>10/13/2023 at 18:32:47 UTC</t>
  </si>
  <si>
    <t>10/15/2020 at 08:02:20 UTC</t>
  </si>
  <si>
    <t>HarePoint Solutions</t>
  </si>
  <si>
    <t>04/04/2024 at 15:40:16 UTC</t>
  </si>
  <si>
    <t>Care Innovations, LLC.</t>
  </si>
  <si>
    <t>04/09/2019 at 21:30:07 UTC</t>
  </si>
  <si>
    <t>10/05/2022 at 21:48:59 UTC</t>
  </si>
  <si>
    <t>Ansgar Becker</t>
  </si>
  <si>
    <t>06/28/2019 at 13:56:07 UTC</t>
  </si>
  <si>
    <t>Digi-Trax Corporation</t>
  </si>
  <si>
    <t>05/28/2020 at 16:31:04 UTC</t>
  </si>
  <si>
    <t>Hibernate</t>
  </si>
  <si>
    <t>08/30/2024 at 16:19:57 UTC</t>
  </si>
  <si>
    <t>LabLogic Systems Ltd.</t>
  </si>
  <si>
    <t>03/22/2021 at 21:34:29 UTC</t>
  </si>
  <si>
    <t>08/26/2020 at 16:31:51 UTC</t>
  </si>
  <si>
    <t>HPE</t>
  </si>
  <si>
    <t>06/16/2020 at 07:59:41 UTC</t>
  </si>
  <si>
    <t>07/16/2019 at 12:17:07 UTC</t>
  </si>
  <si>
    <t>10/07/2024 at 22:23:15 UTC</t>
  </si>
  <si>
    <t>Jerome Haltom</t>
  </si>
  <si>
    <t>03/22/2023 at 16:47:08 UTC</t>
  </si>
  <si>
    <t>Laborie</t>
  </si>
  <si>
    <t>03/16/2021 at 14:19:01 UTC</t>
  </si>
  <si>
    <t>Beside Software</t>
  </si>
  <si>
    <t>05/29/2024 at 02:13:30 UTC</t>
  </si>
  <si>
    <t>03/28/2019 at 11:39:09 UTC</t>
  </si>
  <si>
    <t>MedicaSoft</t>
  </si>
  <si>
    <t>03/31/2020 at 10:49:45 UTC</t>
  </si>
  <si>
    <t>09/08/2020 at 21:04:05 UTC</t>
  </si>
  <si>
    <t>Informatics for Integrating Biology and the Bedside</t>
  </si>
  <si>
    <t>04/07/2021 at 12:01:24 UTC</t>
  </si>
  <si>
    <t>08/18/2020 at 08:54:59 UTC</t>
  </si>
  <si>
    <t>MetaGeek, LLC</t>
  </si>
  <si>
    <t>02/23/2024 at 14:30:53 UTC</t>
  </si>
  <si>
    <t>InstEd</t>
  </si>
  <si>
    <t>11/01/2018 at 07:00:16 UTC</t>
  </si>
  <si>
    <t>10/21/2020 at 09:20:28 UTC</t>
  </si>
  <si>
    <t>IRIS S.A.</t>
  </si>
  <si>
    <t>Vivify Health, Inc.</t>
  </si>
  <si>
    <t>05/28/2020 at 10:59:18 UTC</t>
  </si>
  <si>
    <t>Isensix</t>
  </si>
  <si>
    <t>02/12/2024 at 20:36:28 UTC</t>
  </si>
  <si>
    <t>Vector Psychometric Group</t>
  </si>
  <si>
    <t>02/02/2023 at 18:46:45 UTC</t>
  </si>
  <si>
    <t>Ivanti</t>
  </si>
  <si>
    <t>09/23/2024 at 17:31:19 UTC</t>
  </si>
  <si>
    <t>Atricore, Inc.</t>
  </si>
  <si>
    <t>02/02/2023 at 18:46:46 UTC</t>
  </si>
  <si>
    <t>Jackson Laboratory</t>
  </si>
  <si>
    <t>06/10/2019 at 08:55:07 UTC</t>
  </si>
  <si>
    <t>02/03/2021 at 13:10:01 UTC</t>
  </si>
  <si>
    <t>Data Innovations, LLC</t>
  </si>
  <si>
    <t>10/05/2022 at 00:48:50 UTC</t>
  </si>
  <si>
    <t>Innovision Incorporated</t>
  </si>
  <si>
    <t>03/07/2023 at 03:16:06 UTC</t>
  </si>
  <si>
    <t>Morse Watchmans</t>
  </si>
  <si>
    <t>05/08/2019 at 16:14:06 UTC</t>
  </si>
  <si>
    <t>KWizCom</t>
  </si>
  <si>
    <t>08/31/2022 at 02:18:58 UTC</t>
  </si>
  <si>
    <t>Belltech Systems</t>
  </si>
  <si>
    <t>07/12/2019 at 13:42:06 UTC</t>
  </si>
  <si>
    <t>Brady Corporation</t>
  </si>
  <si>
    <t>04/23/2024 at 01:42:36 UTC</t>
  </si>
  <si>
    <t>LABTrack, LLC</t>
  </si>
  <si>
    <t>LEAD Technologies</t>
  </si>
  <si>
    <t>07/10/2020 at 14:30:58 UTC</t>
  </si>
  <si>
    <t>LINKMED</t>
  </si>
  <si>
    <t>08/13/2020 at 12:01:58 UTC</t>
  </si>
  <si>
    <t>LiquidFiles</t>
  </si>
  <si>
    <t>04/30/2019 at 16:38:24 UTC</t>
  </si>
  <si>
    <t>Sharepointalist</t>
  </si>
  <si>
    <t>08/19/2022 at 17:34:52 UTC</t>
  </si>
  <si>
    <t>Shyam Pillai</t>
  </si>
  <si>
    <t>07/01/2024 at 19:39:42 UTC</t>
  </si>
  <si>
    <t>LunarG</t>
  </si>
  <si>
    <t>Strategic Reporting Systems, Inc.</t>
  </si>
  <si>
    <t>Magic Software Enterprises</t>
  </si>
  <si>
    <t>02/02/2023 at 18:46:56 UTC</t>
  </si>
  <si>
    <t>11/25/2024 at 18:01:53 UTC</t>
  </si>
  <si>
    <t>Victor Boctor</t>
  </si>
  <si>
    <t>05/12/2019 at 17:28:33 UTC</t>
  </si>
  <si>
    <t>Waters</t>
  </si>
  <si>
    <t>12/15/2023 at 19:32:49 UTC</t>
  </si>
  <si>
    <t>Design Science</t>
  </si>
  <si>
    <t>Honeywell Analytics, Inc.</t>
  </si>
  <si>
    <t>05/12/2019 at 17:28:34 UTC</t>
  </si>
  <si>
    <t>11/04/2022 at 01:37:21 UTC</t>
  </si>
  <si>
    <t>Elliott Data Systems</t>
  </si>
  <si>
    <t>03/24/2020 at 14:29:57 UTC</t>
  </si>
  <si>
    <t>Elsevier</t>
  </si>
  <si>
    <t>02/12/2024 at 20:36:40 UTC</t>
  </si>
  <si>
    <t>IBM Watson Health</t>
  </si>
  <si>
    <t>11/09/2022 at 17:06:57 UTC</t>
  </si>
  <si>
    <t>11/14/2022 at 17:43:10 UTC</t>
  </si>
  <si>
    <t>Midmark</t>
  </si>
  <si>
    <t>MikTex</t>
  </si>
  <si>
    <t>06/13/2024 at 20:25:19 UTC</t>
  </si>
  <si>
    <t>MIM Software Inc.</t>
  </si>
  <si>
    <t>10/26/2023 at 19:18:37 UTC</t>
  </si>
  <si>
    <t>Mirah</t>
  </si>
  <si>
    <t>04/01/2021 at 08:06:28 UTC</t>
  </si>
  <si>
    <t>Batesville, Inc</t>
  </si>
  <si>
    <t>06/02/2020 at 12:49:32 UTC</t>
  </si>
  <si>
    <t>Modula</t>
  </si>
  <si>
    <t>11/21/2024 at 23:32:33 UTC</t>
  </si>
  <si>
    <t>08/01/2019 at 13:33:42 UTC</t>
  </si>
  <si>
    <t>Kaleb Pederson</t>
  </si>
  <si>
    <t>12/02/2022 at 02:34:10 UTC</t>
  </si>
  <si>
    <t>Motion Workshop</t>
  </si>
  <si>
    <t>MouseJ</t>
  </si>
  <si>
    <t>11/14/2022 at 17:43:12 UTC</t>
  </si>
  <si>
    <t>01/30/2024 at 01:10:04 UTC</t>
  </si>
  <si>
    <t>Software AG</t>
  </si>
  <si>
    <t>NaturalSoft Ltd</t>
  </si>
  <si>
    <t>05/07/2024 at 03:25:24 UTC</t>
  </si>
  <si>
    <t>Caelo Software</t>
  </si>
  <si>
    <t>NeuLog</t>
  </si>
  <si>
    <t>12/14/2022 at 23:22:59 UTC</t>
  </si>
  <si>
    <t>06/10/2024 at 15:39:11 UTC</t>
  </si>
  <si>
    <t>Neuromonics</t>
  </si>
  <si>
    <t>07/15/2024 at 19:06:12 UTC</t>
  </si>
  <si>
    <t>11/14/2022 at 17:43:13 UTC</t>
  </si>
  <si>
    <t>08/27/2024 at 02:03:25 UTC</t>
  </si>
  <si>
    <t>Nitro</t>
  </si>
  <si>
    <t>10/24/2023 at 01:39:56 UTC</t>
  </si>
  <si>
    <t>11/04/2022 at 01:37:22 UTC</t>
  </si>
  <si>
    <t>Tediousjs</t>
  </si>
  <si>
    <t>Six Sigma Products Group, Inc.</t>
  </si>
  <si>
    <t>NUnit.org</t>
  </si>
  <si>
    <t>Axxya Systems</t>
  </si>
  <si>
    <t>10/31/2022 at 02:31:55 UTC</t>
  </si>
  <si>
    <t>Checkpoint Systems, Inc.</t>
  </si>
  <si>
    <t>09/11/2019 at 07:14:09 UTC</t>
  </si>
  <si>
    <t>decalage2</t>
  </si>
  <si>
    <t>01/05/2023 at 01:51:01 UTC</t>
  </si>
  <si>
    <t>Hammer Technologies</t>
  </si>
  <si>
    <t>07/01/2024 at 15:53:16 UTC</t>
  </si>
  <si>
    <t>Adaptiva</t>
  </si>
  <si>
    <t>07/23/2020 at 10:35:43 UTC</t>
  </si>
  <si>
    <t>LifeScan, Inc.</t>
  </si>
  <si>
    <t>02/02/2023 at 18:46:54 UTC</t>
  </si>
  <si>
    <t>10/17/2019 at 14:44:15 UTC</t>
  </si>
  <si>
    <t>audEERING GmbH</t>
  </si>
  <si>
    <t>Arch Fitters</t>
  </si>
  <si>
    <t>11/19/2020 at 15:53:50 UTC</t>
  </si>
  <si>
    <t>Mirion Technologies, Inc.</t>
  </si>
  <si>
    <t>Option Technologies</t>
  </si>
  <si>
    <t>05/01/2024 at 19:32:15 UTC</t>
  </si>
  <si>
    <t>OQ Measures</t>
  </si>
  <si>
    <t>10/31/2024 at 16:35:36 UTC</t>
  </si>
  <si>
    <t>12/13/2024 at 19:39:13 UTC</t>
  </si>
  <si>
    <t>04/23/2024 at 16:39:01 UTC</t>
  </si>
  <si>
    <t>Panasonic</t>
  </si>
  <si>
    <t>06/08/2020 at 10:34:15 UTC</t>
  </si>
  <si>
    <t>Pandoc</t>
  </si>
  <si>
    <t>04/04/2024 at 03:11:00 UTC</t>
  </si>
  <si>
    <t>Bamboo Solutions</t>
  </si>
  <si>
    <t>02/10/2020 at 08:39:00 UTC</t>
  </si>
  <si>
    <t>bioPDF</t>
  </si>
  <si>
    <t>07/23/2019 at 12:07:39 UTC</t>
  </si>
  <si>
    <t>PDF Share Forms LLC</t>
  </si>
  <si>
    <t>02/28/2021 at 22:04:20 UTC</t>
  </si>
  <si>
    <t>PeaZip</t>
  </si>
  <si>
    <t>11/18/2019 at 17:33:01 UTC</t>
  </si>
  <si>
    <t>VHA Innovations</t>
  </si>
  <si>
    <t>03/31/2020 at 10:51:03 UTC</t>
  </si>
  <si>
    <t>OPW Fuel Management Systems</t>
  </si>
  <si>
    <t>12/26/2024 at 22:35:47 UTC</t>
  </si>
  <si>
    <t>Ergo Science</t>
  </si>
  <si>
    <t>01/11/2023 at 18:22:32 UTC</t>
  </si>
  <si>
    <t>04/23/2020 at 16:23:03 UTC</t>
  </si>
  <si>
    <t>Dr. Martin E. Wendelken</t>
  </si>
  <si>
    <t>08/03/2022 at 17:57:30 UTC</t>
  </si>
  <si>
    <t>Data Science International (DSI)</t>
  </si>
  <si>
    <t>09/16/2022 at 19:27:19 UTC</t>
  </si>
  <si>
    <t>PDF Complete</t>
  </si>
  <si>
    <t>ChristianSteven Software</t>
  </si>
  <si>
    <t>10/14/2024 at 01:23:14 UTC</t>
  </si>
  <si>
    <t>Wulfsoft</t>
  </si>
  <si>
    <t>10/21/2020 at 09:20:27 UTC</t>
  </si>
  <si>
    <t>Clikapad</t>
  </si>
  <si>
    <t>08/27/2024 at 15:34:05 UTC</t>
  </si>
  <si>
    <t>Lumivero</t>
  </si>
  <si>
    <t>04/04/2023 at 02:07:21 UTC</t>
  </si>
  <si>
    <t>PresentationPoint</t>
  </si>
  <si>
    <t>02/28/2023 at 20:32:26 UTC</t>
  </si>
  <si>
    <t>ProFTP</t>
  </si>
  <si>
    <t>06/25/2020 at 12:10:37 UTC</t>
  </si>
  <si>
    <t>Eigen</t>
  </si>
  <si>
    <t>10/26/2020 at 08:21:08 UTC</t>
  </si>
  <si>
    <t>07/15/2021 at 20:42:48 UTC</t>
  </si>
  <si>
    <t>10/13/2022 at 21:20:26 UTC</t>
  </si>
  <si>
    <t>BD</t>
  </si>
  <si>
    <t>05/03/2019 at 11:56:46 UTC</t>
  </si>
  <si>
    <t>04/30/2019 at 16:38:25 UTC</t>
  </si>
  <si>
    <t>04/16/2019 at 08:02:52 UTC</t>
  </si>
  <si>
    <t>02/14/2019 at 19:05:53 UTC</t>
  </si>
  <si>
    <t>QOMO Presenting Solutions</t>
  </si>
  <si>
    <t>03/01/2024 at 18:24:50 UTC</t>
  </si>
  <si>
    <t>Telexy</t>
  </si>
  <si>
    <t>12/31/2020 at 08:18:03 UTC</t>
  </si>
  <si>
    <t>Qdabra Software</t>
  </si>
  <si>
    <t>06/25/2020 at 12:10:35 UTC</t>
  </si>
  <si>
    <t>08/27/2021 at 15:20:18 UTC</t>
  </si>
  <si>
    <t>Lavi Industries</t>
  </si>
  <si>
    <t>05/29/2020 at 14:31:54 UTC</t>
  </si>
  <si>
    <t>Terracotta</t>
  </si>
  <si>
    <t>02/23/2024 at 14:30:44 UTC</t>
  </si>
  <si>
    <t>RTTS</t>
  </si>
  <si>
    <t>08/18/2020 at 08:55:02 UTC</t>
  </si>
  <si>
    <t>Cogin</t>
  </si>
  <si>
    <t>07/23/2019 at 12:07:41 UTC</t>
  </si>
  <si>
    <t>QuickMAR</t>
  </si>
  <si>
    <t>08/24/2022 at 18:57:46 UTC</t>
  </si>
  <si>
    <t>Radiance</t>
  </si>
  <si>
    <t>10/14/2024 at 01:22:57 UTC</t>
  </si>
  <si>
    <t>01/25/2021 at 10:48:29 UTC</t>
  </si>
  <si>
    <t>getdata</t>
  </si>
  <si>
    <t>10/28/2020 at 08:51:51 UTC</t>
  </si>
  <si>
    <t>Redmine</t>
  </si>
  <si>
    <t>11/23/2022 at 22:12:32 UTC</t>
  </si>
  <si>
    <t>Devolutions</t>
  </si>
  <si>
    <t>06/14/2022 at 15:55:14 UTC</t>
  </si>
  <si>
    <t>07/15/2024 at 19:06:10 UTC</t>
  </si>
  <si>
    <t>08/21/2019 at 07:10:46 UTC</t>
  </si>
  <si>
    <t>RouteMatch Software</t>
  </si>
  <si>
    <t>03/02/2020 at 10:06:35 UTC</t>
  </si>
  <si>
    <t>Jeroen Ooms</t>
  </si>
  <si>
    <t>05/22/2024 at 16:16:06 UTC</t>
  </si>
  <si>
    <t>H.R.Z. Software Services Ltd</t>
  </si>
  <si>
    <t>06/25/2020 at 12:10:33 UTC</t>
  </si>
  <si>
    <t>Aladdin Temp-Rite</t>
  </si>
  <si>
    <t>07/24/2020 at 09:24:38 UTC</t>
  </si>
  <si>
    <t>10/05/2022 at 21:49:02 UTC</t>
  </si>
  <si>
    <t>Atlas Business Solutions</t>
  </si>
  <si>
    <t>11/08/2021 at 18:38:14 UTC</t>
  </si>
  <si>
    <t>En-Vision America</t>
  </si>
  <si>
    <t>10/03/2023 at 15:45:25 UTC</t>
  </si>
  <si>
    <t>Vincent Voyer</t>
  </si>
  <si>
    <t>08/28/2024 at 17:43:13 UTC</t>
  </si>
  <si>
    <t>Amazon</t>
  </si>
  <si>
    <t>07/31/2019 at 14:54:48 UTC</t>
  </si>
  <si>
    <t>08/28/2024 at 17:43:12 UTC</t>
  </si>
  <si>
    <t>Serengeti Systems Inc.</t>
  </si>
  <si>
    <t>05/07/2024 at 03:25:25 UTC</t>
  </si>
  <si>
    <t>06/19/2020 at 10:39:46 UTC</t>
  </si>
  <si>
    <t>Shouldly</t>
  </si>
  <si>
    <t>05/18/2020 at 11:55:42 UTC</t>
  </si>
  <si>
    <t>12/09/2021 at 13:39:30 UTC</t>
  </si>
  <si>
    <t>ViewSonic</t>
  </si>
  <si>
    <t>03/11/2024 at 14:14:19 UTC</t>
  </si>
  <si>
    <t>MG-SOFT</t>
  </si>
  <si>
    <t>Sisense Inc.</t>
  </si>
  <si>
    <t>01/18/2023 at 17:07:45 UTC</t>
  </si>
  <si>
    <t>01/19/2021 at 11:35:14 UTC</t>
  </si>
  <si>
    <t>Arvato</t>
  </si>
  <si>
    <t>06/22/2020 at 16:42:56 UTC</t>
  </si>
  <si>
    <t>SmartDraw Software</t>
  </si>
  <si>
    <t>SourceGear</t>
  </si>
  <si>
    <t>04/01/2019 at 07:55:24 UTC</t>
  </si>
  <si>
    <t>University of Washington</t>
  </si>
  <si>
    <t>Add-Ins.com</t>
  </si>
  <si>
    <t>07/23/2019 at 12:08:00 UTC</t>
  </si>
  <si>
    <t>03/26/2021 at 10:14:22 UTC</t>
  </si>
  <si>
    <t>06/24/2020 at 12:12:54 UTC</t>
  </si>
  <si>
    <t>11/25/2022 at 21:06:07 UTC</t>
  </si>
  <si>
    <t>07/01/2024 at 19:39:31 UTC</t>
  </si>
  <si>
    <t>Riverbed</t>
  </si>
  <si>
    <t>12/29/2023 at 15:28:41 UTC</t>
  </si>
  <si>
    <t>12/14/2018 at 11:43:22 UTC</t>
  </si>
  <si>
    <t>08/16/2023 at 18:56:19 UTC</t>
  </si>
  <si>
    <t>Structured Solutions Inc.</t>
  </si>
  <si>
    <t>02/23/2024 at 02:54:07 UTC</t>
  </si>
  <si>
    <t>StructureMap</t>
  </si>
  <si>
    <t>02/24/2020 at 12:44:03 UTC</t>
  </si>
  <si>
    <t>StudyTRAX LLC.</t>
  </si>
  <si>
    <t>01/10/2023 at 02:26:12 UTC</t>
  </si>
  <si>
    <t>Krzysztof Kowalczyk</t>
  </si>
  <si>
    <t>03/10/2020 at 12:07:24 UTC</t>
  </si>
  <si>
    <t>Pantaray Research</t>
  </si>
  <si>
    <t>10/27/2020 at 09:15:55 UTC</t>
  </si>
  <si>
    <t>SirsiDynix</t>
  </si>
  <si>
    <t>05/06/2020 at 16:34:25 UTC</t>
  </si>
  <si>
    <t>Jack Henry &amp; Associates</t>
  </si>
  <si>
    <t>10/14/2024 at 01:23:18 UTC</t>
  </si>
  <si>
    <t>07/24/2024 at 04:25:16 UTC</t>
  </si>
  <si>
    <t>11/05/2018 at 20:22:18 UTC</t>
  </si>
  <si>
    <t>ZOLL Data Management</t>
  </si>
  <si>
    <t>10/20/2022 at 15:34:20 UTC</t>
  </si>
  <si>
    <t>CPSI</t>
  </si>
  <si>
    <t>08/26/2020 at 16:31:52 UTC</t>
  </si>
  <si>
    <t>Cerious Software</t>
  </si>
  <si>
    <t>06/27/2019 at 12:47:45 UTC</t>
  </si>
  <si>
    <t>06/26/2024 at 14:49:03 UTC</t>
  </si>
  <si>
    <t>TITUS, Inc</t>
  </si>
  <si>
    <t>05/19/2020 at 12:52:36 UTC</t>
  </si>
  <si>
    <t>11/28/2022 at 02:39:48 UTC</t>
  </si>
  <si>
    <t>Stefan Kung</t>
  </si>
  <si>
    <t>01/30/2024 at 01:11:38 UTC</t>
  </si>
  <si>
    <t>09/27/2024 at 16:28:35 UTC</t>
  </si>
  <si>
    <t>JTech Medical</t>
  </si>
  <si>
    <t>06/24/2021 at 12:44:13 UTC</t>
  </si>
  <si>
    <t>Travis CI, GmbH</t>
  </si>
  <si>
    <t>10/10/2024 at 02:06:12 UTC</t>
  </si>
  <si>
    <t>01/18/2024 at 02:53:37 UTC</t>
  </si>
  <si>
    <t>TriNetX</t>
  </si>
  <si>
    <t>12/12/2022 at 03:45:10 UTC</t>
  </si>
  <si>
    <t>turbo.net</t>
  </si>
  <si>
    <t>02/04/2021 at 14:19:22 UTC</t>
  </si>
  <si>
    <t>12/06/2022 at 02:46:39 UTC</t>
  </si>
  <si>
    <t>09/16/2020 at 12:14:21 UTC</t>
  </si>
  <si>
    <t>Raymond Hill</t>
  </si>
  <si>
    <t>01/31/2023 at 03:11:06 UTC</t>
  </si>
  <si>
    <t>04/07/2020 at 08:22:13 UTC</t>
  </si>
  <si>
    <t>03/24/2020 at 14:52:02 UTC</t>
  </si>
  <si>
    <t>Unify</t>
  </si>
  <si>
    <t>12/28/2023 at 20:12:15 UTC</t>
  </si>
  <si>
    <t>Unitrends</t>
  </si>
  <si>
    <t>06/19/2020 at 10:39:47 UTC</t>
  </si>
  <si>
    <t>Yorktel</t>
  </si>
  <si>
    <t>Shimadzu</t>
  </si>
  <si>
    <t>Optos</t>
  </si>
  <si>
    <t>04/26/2019 at 10:47:27 UTC</t>
  </si>
  <si>
    <t>Ventana Medical Systems</t>
  </si>
  <si>
    <t>06/17/2021 at 21:28:29 UTC</t>
  </si>
  <si>
    <t>Varnish Software</t>
  </si>
  <si>
    <t>11/29/2022 at 18:11:47 UTC</t>
  </si>
  <si>
    <t>Versus Technology, Inc.</t>
  </si>
  <si>
    <t>03/25/2020 at 16:10:08 UTC</t>
  </si>
  <si>
    <t>Hamilton Company</t>
  </si>
  <si>
    <t>04/23/2020 at 16:11:08 UTC</t>
  </si>
  <si>
    <t>Version One</t>
  </si>
  <si>
    <t>10/17/2018 at 13:07:56 UTC</t>
  </si>
  <si>
    <t>DSHI Systems</t>
  </si>
  <si>
    <t>08/26/2019 at 15:04:19 UTC</t>
  </si>
  <si>
    <t>10/12/2022 at 15:00:58 UTC</t>
  </si>
  <si>
    <t>VirtuaWin</t>
  </si>
  <si>
    <t>Visual Health Information</t>
  </si>
  <si>
    <t>07/10/2020 at 14:35:09 UTC</t>
  </si>
  <si>
    <t>Aivosto Oy</t>
  </si>
  <si>
    <t>10/03/2022 at 19:04:01 UTC</t>
  </si>
  <si>
    <t>Voiceye</t>
  </si>
  <si>
    <t>09/30/2020 at 12:11:47 UTC</t>
  </si>
  <si>
    <t>VSee</t>
  </si>
  <si>
    <t>08/03/2020 at 21:15:24 UTC</t>
  </si>
  <si>
    <t>University of Utah, Department of Epidemiology</t>
  </si>
  <si>
    <t>01/20/2023 at 19:57:13 UTC</t>
  </si>
  <si>
    <t>01/30/2024 at 01:11:47 UTC</t>
  </si>
  <si>
    <t>Neodynamic SRL</t>
  </si>
  <si>
    <t>03/14/2024 at 16:06:21 UTC</t>
  </si>
  <si>
    <t>WebIssues Team</t>
  </si>
  <si>
    <t>04/26/2019 at 10:47:32 UTC</t>
  </si>
  <si>
    <t>10/28/2024 at 16:28:24 UTC</t>
  </si>
  <si>
    <t>Temasys</t>
  </si>
  <si>
    <t>02/03/2020 at 18:50:27 UTC</t>
  </si>
  <si>
    <t>ExclamationSOFT</t>
  </si>
  <si>
    <t>10/03/2022 at 18:04:48 UTC</t>
  </si>
  <si>
    <t>02/15/2024 at 20:11:05 UTC</t>
  </si>
  <si>
    <t>Waikato University</t>
  </si>
  <si>
    <t>09/30/2022 at 16:17:17 UTC</t>
  </si>
  <si>
    <t>Ai Squared</t>
  </si>
  <si>
    <t>03/02/2020 at 10:06:40 UTC</t>
  </si>
  <si>
    <t>Corel</t>
  </si>
  <si>
    <t>06/21/2024 at 22:00:40 UTC</t>
  </si>
  <si>
    <t>WinEdt</t>
  </si>
  <si>
    <t>07/23/2019 at 12:08:01 UTC</t>
  </si>
  <si>
    <t>06/26/2020 at 09:10:12 UTC</t>
  </si>
  <si>
    <t>OnBarcode</t>
  </si>
  <si>
    <t>08/29/2024 at 15:54:57 UTC</t>
  </si>
  <si>
    <t>Abdio Software Inc.</t>
  </si>
  <si>
    <t>07/29/2019 at 07:24:32 UTC</t>
  </si>
  <si>
    <t>Wound Zoom</t>
  </si>
  <si>
    <t>05/28/2019 at 12:17:29 UTC</t>
  </si>
  <si>
    <t>Colin Harrison</t>
  </si>
  <si>
    <t>07/15/2020 at 10:46:33 UTC</t>
  </si>
  <si>
    <t>Zap Technologies</t>
  </si>
  <si>
    <t>10/21/2020 at 09:20:26 UTC</t>
  </si>
  <si>
    <t>02/02/2024 at 03:13:40 UTC</t>
  </si>
  <si>
    <t>Zenalux Biomedical</t>
  </si>
  <si>
    <t>09/29/2020 at 12:05:42 UTC</t>
  </si>
  <si>
    <t>Information Builders</t>
  </si>
  <si>
    <t>10/09/2019 at 11:55:18 UTC</t>
  </si>
  <si>
    <t>06/03/2024 at 16:54:52 UTC</t>
  </si>
  <si>
    <t>09/04/2020 at 09:19:14 UTC</t>
  </si>
  <si>
    <t>11/01/2022 at 02:20:58 UTC</t>
  </si>
  <si>
    <t>XTec</t>
  </si>
  <si>
    <t>Tecolote Research, Inc.</t>
  </si>
  <si>
    <t>07/15/2024 at 19:06:15 UTC</t>
  </si>
  <si>
    <t>06/21/2024 at 22:00:46 UTC</t>
  </si>
  <si>
    <t>Tobii Dynavox AB (Publ)</t>
  </si>
  <si>
    <t>11/29/2024 at 20:47:38 UTC</t>
  </si>
  <si>
    <t>05/30/2024 at 02:59:23 UTC</t>
  </si>
  <si>
    <t>Digital Monitoring Products (DMP)</t>
  </si>
  <si>
    <t>09/19/2024 at 17:25:17 UTC</t>
  </si>
  <si>
    <t>Condusiv Technologies</t>
  </si>
  <si>
    <t>03/14/2024 at 16:04:35 UTC</t>
  </si>
  <si>
    <t>Edge Technologies</t>
  </si>
  <si>
    <t>04/19/2024 at 03:49:24 UTC</t>
  </si>
  <si>
    <t>Blackbaud Inc.</t>
  </si>
  <si>
    <t>04/01/2024 at 02:09:08 UTC</t>
  </si>
  <si>
    <t>FlashGrid</t>
  </si>
  <si>
    <t>04/08/2024 at 15:17:27 UTC</t>
  </si>
  <si>
    <t>Gpg4win.org</t>
  </si>
  <si>
    <t>11/29/2024 at 20:47:40 UTC</t>
  </si>
  <si>
    <t>05/22/2024 at 16:13:44 UTC</t>
  </si>
  <si>
    <t>Knowledge Based Systems, Inc.</t>
  </si>
  <si>
    <t>11/01/2022 at 18:56:55 UTC</t>
  </si>
  <si>
    <t>The Document Foundation</t>
  </si>
  <si>
    <t>01/02/2025 at 19:25:03 UTC</t>
  </si>
  <si>
    <t>NewTek NDI</t>
  </si>
  <si>
    <t>01/08/2024 at 17:49:53 UTC</t>
  </si>
  <si>
    <t>Softland</t>
  </si>
  <si>
    <t>02/12/2024 at 20:36:42 UTC</t>
  </si>
  <si>
    <t>10/01/2019 at 14:48:03 UTC</t>
  </si>
  <si>
    <t>The Rexx Language Association</t>
  </si>
  <si>
    <t>10/14/2024 at 01:22:55 UTC</t>
  </si>
  <si>
    <t>PassMark</t>
  </si>
  <si>
    <t>Vector Networks</t>
  </si>
  <si>
    <t>07/10/2020 at 14:34:23 UTC</t>
  </si>
  <si>
    <t>pdfforge</t>
  </si>
  <si>
    <t>05/08/2024 at 13:47:52 UTC</t>
  </si>
  <si>
    <t>Sapien Technologies Inc.</t>
  </si>
  <si>
    <t>04/01/2024 at 02:11:15 UTC</t>
  </si>
  <si>
    <t>06/02/2020 at 12:49:34 UTC</t>
  </si>
  <si>
    <t>06/05/2020 at 00:36:58 UTC</t>
  </si>
  <si>
    <t>RealVNC</t>
  </si>
  <si>
    <t>04/11/2023 at 02:19:03 UTC</t>
  </si>
  <si>
    <t>VisionStar LLC</t>
  </si>
  <si>
    <t>06/19/2019 at 13:37:47 UTC</t>
  </si>
  <si>
    <t>NCR</t>
  </si>
  <si>
    <t>12/04/2020 at 14:58:14 UTC</t>
  </si>
  <si>
    <t>Wireshark.org</t>
  </si>
  <si>
    <t>09/16/2024 at 14:32:15 UTC</t>
  </si>
  <si>
    <t>Fedora Project</t>
  </si>
  <si>
    <t>04/30/2019 at 16:38:23 UTC</t>
  </si>
  <si>
    <t>Fabio Martin</t>
  </si>
  <si>
    <t>08/06/2019 at 12:30:37 UTC</t>
  </si>
  <si>
    <t>Advisory Board Company</t>
  </si>
  <si>
    <t>03/16/2022 at 23:52:22 UTC</t>
  </si>
  <si>
    <t>10/18/2022 at 16:18:06 UTC</t>
  </si>
  <si>
    <t>Ryan Boyd</t>
  </si>
  <si>
    <t>03/01/2024 at 02:18:30 UTC</t>
  </si>
  <si>
    <t>UPS</t>
  </si>
  <si>
    <t>08/19/2019 at 07:36:05 UTC</t>
  </si>
  <si>
    <t>05/16/2019 at 11:24:05 UTC</t>
  </si>
  <si>
    <t>Blackboard, Inc.</t>
  </si>
  <si>
    <t>09/22/2020 at 10:47:10 UTC</t>
  </si>
  <si>
    <t>Box</t>
  </si>
  <si>
    <t>03/16/2021 at 15:07:48 UTC</t>
  </si>
  <si>
    <t>04/14/2023 at 02:14:05 UTC</t>
  </si>
  <si>
    <t>Brother International</t>
  </si>
  <si>
    <t>01/06/2022 at 01:03:40 UTC</t>
  </si>
  <si>
    <t>ECMA</t>
  </si>
  <si>
    <t>02/12/2024 at 16:52:01 UTC</t>
  </si>
  <si>
    <t>03/03/2020 at 16:13:09 UTC</t>
  </si>
  <si>
    <t>Calendly</t>
  </si>
  <si>
    <t>09/29/2020 at 08:46:00 UTC</t>
  </si>
  <si>
    <t>Carta Healthcare</t>
  </si>
  <si>
    <t>06/25/2024 at 15:28:01 UTC</t>
  </si>
  <si>
    <t>08/21/2019 at 07:10:47 UTC</t>
  </si>
  <si>
    <t>02/14/2019 at 10:53:03 UTC</t>
  </si>
  <si>
    <t>Naoaki Okazaki</t>
  </si>
  <si>
    <t>01/17/2020 at 13:34:12 UTC</t>
  </si>
  <si>
    <t>Gimmal</t>
  </si>
  <si>
    <t>09/10/2024 at 15:45:58 UTC</t>
  </si>
  <si>
    <t>Henk Mollema</t>
  </si>
  <si>
    <t>07/28/2020 at 14:38:00 UTC</t>
  </si>
  <si>
    <t>MKF Solutions</t>
  </si>
  <si>
    <t>07/11/2022 at 19:58:56 UTC</t>
  </si>
  <si>
    <t>05/01/2020 at 14:08:54 UTC</t>
  </si>
  <si>
    <t>DriverSupport</t>
  </si>
  <si>
    <t>02/10/2020 at 08:39:02 UTC</t>
  </si>
  <si>
    <t>DriverAgent.com, Inc.</t>
  </si>
  <si>
    <t>07/19/2019 at 13:46:25 UTC</t>
  </si>
  <si>
    <t>Inova Solutions</t>
  </si>
  <si>
    <t>09/08/2021 at 18:58:13 UTC</t>
  </si>
  <si>
    <t>Megaify</t>
  </si>
  <si>
    <t>Dropbox</t>
  </si>
  <si>
    <t>08/28/2019 at 16:04:13 UTC</t>
  </si>
  <si>
    <t>Elastic</t>
  </si>
  <si>
    <t>12/19/2024 at 15:06:44 UTC</t>
  </si>
  <si>
    <t>eM Client</t>
  </si>
  <si>
    <t>04/05/2019 at 09:56:21 UTC</t>
  </si>
  <si>
    <t>Chemical Safety</t>
  </si>
  <si>
    <t>03/19/2024 at 00:47:20 UTC</t>
  </si>
  <si>
    <t>Epson</t>
  </si>
  <si>
    <t>02/07/2023 at 20:24:32 UTC</t>
  </si>
  <si>
    <t>E-Tech, Inc.</t>
  </si>
  <si>
    <t>03/14/2021 at 20:46:37 UTC</t>
  </si>
  <si>
    <t>Facebook</t>
  </si>
  <si>
    <t>05/01/2020 at 14:08:55 UTC</t>
  </si>
  <si>
    <t>03/24/2019 at 21:18:26 UTC</t>
  </si>
  <si>
    <t>FileTrail</t>
  </si>
  <si>
    <t>05/28/2019 at 12:17:27 UTC</t>
  </si>
  <si>
    <t>Fitbit Inc.</t>
  </si>
  <si>
    <t>01/14/2022 at 01:50:42 UTC</t>
  </si>
  <si>
    <t>Bacharach</t>
  </si>
  <si>
    <t>06/05/2020 at 00:36:55 UTC</t>
  </si>
  <si>
    <t>Honeywell</t>
  </si>
  <si>
    <t>HSQL Development Group</t>
  </si>
  <si>
    <t>05/12/2020 at 08:24:29 UTC</t>
  </si>
  <si>
    <t>05/12/2020 at 08:15:24 UTC</t>
  </si>
  <si>
    <t>11/15/2024 at 22:28:40 UTC</t>
  </si>
  <si>
    <t>AppendTo</t>
  </si>
  <si>
    <t>01/06/2019 at 21:38:02 UTC</t>
  </si>
  <si>
    <t>Plenom</t>
  </si>
  <si>
    <t>MSS Software</t>
  </si>
  <si>
    <t>08/17/2021 at 19:49:11 UTC</t>
  </si>
  <si>
    <t>Philip Laureano</t>
  </si>
  <si>
    <t>10/23/2018 at 21:57:03 UTC</t>
  </si>
  <si>
    <t>MariaDB</t>
  </si>
  <si>
    <t>08/02/2024 at 19:01:13 UTC</t>
  </si>
  <si>
    <t>Mimer</t>
  </si>
  <si>
    <t>07/30/2019 at 17:13:14 UTC</t>
  </si>
  <si>
    <t>MonetDB</t>
  </si>
  <si>
    <t>06/19/2020 at 10:39:48 UTC</t>
  </si>
  <si>
    <t>Maarten Balliauw</t>
  </si>
  <si>
    <t>04/16/2019 at 08:02:53 UTC</t>
  </si>
  <si>
    <t>Imprint Plus</t>
  </si>
  <si>
    <t>03/24/2019 at 21:18:28 UTC</t>
  </si>
  <si>
    <t>03/10/2020 at 12:07:22 UTC</t>
  </si>
  <si>
    <t>QSR INTERNATIONAL</t>
  </si>
  <si>
    <t>11/21/2024 at 23:32:35 UTC</t>
  </si>
  <si>
    <t>3com</t>
  </si>
  <si>
    <t>03/30/2023 at 19:17:52 UTC</t>
  </si>
  <si>
    <t>Ollama</t>
  </si>
  <si>
    <t>12/19/2024 at 15:06:41 UTC</t>
  </si>
  <si>
    <t>OneStream</t>
  </si>
  <si>
    <t>01/14/2020 at 21:26:24 UTC</t>
  </si>
  <si>
    <t>07/14/2022 at 19:58:03 UTC</t>
  </si>
  <si>
    <t>McAfee Foundstone</t>
  </si>
  <si>
    <t>04/30/2020 at 14:27:53 UTC</t>
  </si>
  <si>
    <t>OfficeOne</t>
  </si>
  <si>
    <t>04/26/2019 at 10:47:26 UTC</t>
  </si>
  <si>
    <t>Proofpoint</t>
  </si>
  <si>
    <t>03/30/2020 at 07:52:42 UTC</t>
  </si>
  <si>
    <t>08/28/2019 at 16:05:02 UTC</t>
  </si>
  <si>
    <t>RaySafe</t>
  </si>
  <si>
    <t>01/03/2022 at 22:17:05 UTC</t>
  </si>
  <si>
    <t>Innovative Imaging Technologies (IIT)</t>
  </si>
  <si>
    <t>03/24/2020 at 14:52:03 UTC</t>
  </si>
  <si>
    <t>RestSharp Community</t>
  </si>
  <si>
    <t>04/13/2020 at 08:14:14 UTC</t>
  </si>
  <si>
    <t>Punk Labs</t>
  </si>
  <si>
    <t>09/16/2022 at 19:27:17 UTC</t>
  </si>
  <si>
    <t>06/30/2022 at 17:35:02 UTC</t>
  </si>
  <si>
    <t>Big Nerd Software, LLC</t>
  </si>
  <si>
    <t>06/16/2020 at 07:59:45 UTC</t>
  </si>
  <si>
    <t>SharpCloud</t>
  </si>
  <si>
    <t>04/21/2020 at 11:19:57 UTC</t>
  </si>
  <si>
    <t>SingleStore</t>
  </si>
  <si>
    <t>11/10/2021 at 17:39:06 UTC</t>
  </si>
  <si>
    <t>HP</t>
  </si>
  <si>
    <t>06/01/2020 at 08:30:50 UTC</t>
  </si>
  <si>
    <t>Versoworks</t>
  </si>
  <si>
    <t>Johnson Controls</t>
  </si>
  <si>
    <t>02/14/2022 at 02:45:22 UTC</t>
  </si>
  <si>
    <t>10/04/2024 at 17:13:11 UTC</t>
  </si>
  <si>
    <t>Valve Corporation</t>
  </si>
  <si>
    <t>08/25/2021 at 03:15:41 UTC</t>
  </si>
  <si>
    <t>fxfactory</t>
  </si>
  <si>
    <t>02/12/2019 at 09:48:51 UTC</t>
  </si>
  <si>
    <t>DotNet Foundation</t>
  </si>
  <si>
    <t>Internet Engineering Task Force (IETF)</t>
  </si>
  <si>
    <t>05/12/2020 at 08:24:25 UTC</t>
  </si>
  <si>
    <t>Tzunami Inc.</t>
  </si>
  <si>
    <t>09/01/2022 at 20:19:23 UTC</t>
  </si>
  <si>
    <t>12/06/2022 at 02:46:51 UTC</t>
  </si>
  <si>
    <t>03/11/2024 at 14:14:37 UTC</t>
  </si>
  <si>
    <t>SDT Ultrasound Solutions</t>
  </si>
  <si>
    <t>02/10/2020 at 08:24:03 UTC</t>
  </si>
  <si>
    <t>Ehler Tech</t>
  </si>
  <si>
    <t>04/21/2020 at 11:20:01 UTC</t>
  </si>
  <si>
    <t>02/27/2019 at 08:09:55 UTC</t>
  </si>
  <si>
    <t>FreeMake</t>
  </si>
  <si>
    <t>06/19/2019 at 13:37:51 UTC</t>
  </si>
  <si>
    <t>Voiceitt</t>
  </si>
  <si>
    <t>03/27/2024 at 01:49:32 UTC</t>
  </si>
  <si>
    <t>09/01/2020 at 10:34:37 UTC</t>
  </si>
  <si>
    <t>05/12/2020 at 08:15:25 UTC</t>
  </si>
  <si>
    <t>X1 Discovery, Inc</t>
  </si>
  <si>
    <t>XYplorer</t>
  </si>
  <si>
    <t>01/23/2024 at 01:30:46 UTC</t>
  </si>
  <si>
    <t>22Miles</t>
  </si>
  <si>
    <t>08/28/2024 at 17:43:05 UTC</t>
  </si>
  <si>
    <t>3Dsystems</t>
  </si>
  <si>
    <t>03/18/2024 at 23:28:48 UTC</t>
  </si>
  <si>
    <t>Solventum</t>
  </si>
  <si>
    <t>08/29/2024 at 15:55:03 UTC</t>
  </si>
  <si>
    <t>MEI Systems Inc.</t>
  </si>
  <si>
    <t>10/20/2022 at 14:00:01 UTC</t>
  </si>
  <si>
    <t>Igor Pavlov</t>
  </si>
  <si>
    <t>ABBYY</t>
  </si>
  <si>
    <t>12/19/2023 at 19:14:31 UTC</t>
  </si>
  <si>
    <t>06/18/2024 at 17:39:03 UTC</t>
  </si>
  <si>
    <t>10/14/2024 at 01:23:28 UTC</t>
  </si>
  <si>
    <t>RW Martin Company</t>
  </si>
  <si>
    <t>11/29/2023 at 19:44:38 UTC</t>
  </si>
  <si>
    <t>Absolute Software</t>
  </si>
  <si>
    <t>09/23/2024 at 17:09:03 UTC</t>
  </si>
  <si>
    <t>Multitone</t>
  </si>
  <si>
    <t>03/12/2024 at 15:25:11 UTC</t>
  </si>
  <si>
    <t>Valsatech Corporation</t>
  </si>
  <si>
    <t>11/25/2024 at 18:20:31 UTC</t>
  </si>
  <si>
    <t>Avigilon</t>
  </si>
  <si>
    <t>12/13/2024 at 19:38:10 UTC</t>
  </si>
  <si>
    <t>RS2 Tech</t>
  </si>
  <si>
    <t>10/31/2024 at 16:35:59 UTC</t>
  </si>
  <si>
    <t>03/01/2023 at 22:30:34 UTC</t>
  </si>
  <si>
    <t>Siteimprove</t>
  </si>
  <si>
    <t>12/27/2024 at 23:58:32 UTC</t>
  </si>
  <si>
    <t>Level Access</t>
  </si>
  <si>
    <t>12/04/2024 at 19:12:00 UTC</t>
  </si>
  <si>
    <t>02/12/2024 at 20:36:20 UTC</t>
  </si>
  <si>
    <t>Synbiosis</t>
  </si>
  <si>
    <t>Acqueon Technologies Inc.</t>
  </si>
  <si>
    <t>01/06/2023 at 00:34:12 UTC</t>
  </si>
  <si>
    <t>Acronis</t>
  </si>
  <si>
    <t>Nutanix</t>
  </si>
  <si>
    <t>01/18/2024 at 02:49:46 UTC</t>
  </si>
  <si>
    <t>Aperta Ltd.</t>
  </si>
  <si>
    <t>12/01/2023 at 18:44:13 UTC</t>
  </si>
  <si>
    <t>PDFTron Systems, Inc.</t>
  </si>
  <si>
    <t>05/23/2024 at 16:18:49 UTC</t>
  </si>
  <si>
    <t>MESCIUS Inc.</t>
  </si>
  <si>
    <t>12/05/2023 at 03:43:09 UTC</t>
  </si>
  <si>
    <t>10/31/2024 at 16:35:46 UTC</t>
  </si>
  <si>
    <t>ManageEngine</t>
  </si>
  <si>
    <t>05/24/2024 at 16:48:59 UTC</t>
  </si>
  <si>
    <t>Colorlib</t>
  </si>
  <si>
    <t>12/20/2022 at 16:43:27 UTC</t>
  </si>
  <si>
    <t>12/02/2024 at 22:51:15 UTC</t>
  </si>
  <si>
    <t>10/16/2023 at 16:24:26 UTC</t>
  </si>
  <si>
    <t>08/27/2024 at 02:02:54 UTC</t>
  </si>
  <si>
    <t>12/26/2024 at 22:35:48 UTC</t>
  </si>
  <si>
    <t>11/15/2024 at 21:35:16 UTC</t>
  </si>
  <si>
    <t>11/27/2024 at 00:44:23 UTC</t>
  </si>
  <si>
    <t>11/06/2024 at 02:07:32 UTC</t>
  </si>
  <si>
    <t>10/16/2024 at 13:10:08 UTC</t>
  </si>
  <si>
    <t>Tango</t>
  </si>
  <si>
    <t>02/02/2024 at 03:07:31 UTC</t>
  </si>
  <si>
    <t>Crestron</t>
  </si>
  <si>
    <t>Datalogic</t>
  </si>
  <si>
    <t>04/04/2024 at 15:40:29 UTC</t>
  </si>
  <si>
    <t>10/02/2024 at 21:47:32 UTC</t>
  </si>
  <si>
    <t>05/23/2024 at 16:18:48 UTC</t>
  </si>
  <si>
    <t>Altair</t>
  </si>
  <si>
    <t>Altamont Software</t>
  </si>
  <si>
    <t>04/10/2024 at 02:06:07 UTC</t>
  </si>
  <si>
    <t>Altium</t>
  </si>
  <si>
    <t>06/21/2024 at 22:00:34 UTC</t>
  </si>
  <si>
    <t>02/21/2023 at 19:00:01 UTC</t>
  </si>
  <si>
    <t>07/01/2024 at 19:39:37 UTC</t>
  </si>
  <si>
    <t>Antibody Software</t>
  </si>
  <si>
    <t>11/14/2023 at 14:20:56 UTC</t>
  </si>
  <si>
    <t>06/13/2024 at 20:25:21 UTC</t>
  </si>
  <si>
    <t>03/13/2024 at 17:13:59 UTC</t>
  </si>
  <si>
    <t>10/29/2024 at 19:18:16 UTC</t>
  </si>
  <si>
    <t>Eric Zimmerman</t>
  </si>
  <si>
    <t>10/10/2024 at 02:06:13 UTC</t>
  </si>
  <si>
    <t>AppDynamics, Inc.</t>
  </si>
  <si>
    <t>Appian</t>
  </si>
  <si>
    <t>01/07/2025 at 01:25:07 UTC</t>
  </si>
  <si>
    <t>11/20/2023 at 13:27:46 UTC</t>
  </si>
  <si>
    <t>Appspace</t>
  </si>
  <si>
    <t>08/28/2024 at 17:43:06 UTC</t>
  </si>
  <si>
    <t>Motorola Solutions, Inc.</t>
  </si>
  <si>
    <t>03/26/2024 at 16:11:03 UTC</t>
  </si>
  <si>
    <t>02/02/2024 at 03:13:41 UTC</t>
  </si>
  <si>
    <t>07/30/2024 at 16:02:06 UTC</t>
  </si>
  <si>
    <t>02/23/2024 at 14:30:46 UTC</t>
  </si>
  <si>
    <t>02/12/2024 at 16:52:03 UTC</t>
  </si>
  <si>
    <t>Archimate Tool</t>
  </si>
  <si>
    <t>12/02/2024 at 18:14:25 UTC</t>
  </si>
  <si>
    <t>Arcserve</t>
  </si>
  <si>
    <t>10/31/2024 at 16:35:48 UTC</t>
  </si>
  <si>
    <t>Stanley Healthcare</t>
  </si>
  <si>
    <t>12/22/2022 at 23:05:54 UTC</t>
  </si>
  <si>
    <t>11/27/2024 at 00:44:24 UTC</t>
  </si>
  <si>
    <t>ASC Technologies</t>
  </si>
  <si>
    <t>02/16/2023 at 18:14:45 UTC</t>
  </si>
  <si>
    <t>01/07/2025 at 01:24:51 UTC</t>
  </si>
  <si>
    <t>12/20/2024 at 21:29:08 UTC</t>
  </si>
  <si>
    <t>Asigra</t>
  </si>
  <si>
    <t>09/01/2022 at 20:19:32 UTC</t>
  </si>
  <si>
    <t>12/26/2024 at 22:35:49 UTC</t>
  </si>
  <si>
    <t>Fanix Software</t>
  </si>
  <si>
    <t>02/06/2024 at 02:01:05 UTC</t>
  </si>
  <si>
    <t>03/08/2023 at 04:43:35 UTC</t>
  </si>
  <si>
    <t>05/09/2024 at 19:08:26 UTC</t>
  </si>
  <si>
    <t>08/30/2024 at 16:19:27 UTC</t>
  </si>
  <si>
    <t>Dentsply Implants</t>
  </si>
  <si>
    <t>12/06/2022 at 02:46:35 UTC</t>
  </si>
  <si>
    <t>04/29/2024 at 16:45:44 UTC</t>
  </si>
  <si>
    <t>ATLAS.ti Scientific Software Development GmbH</t>
  </si>
  <si>
    <t>12/13/2024 at 19:36:17 UTC</t>
  </si>
  <si>
    <t>AudSoft, Inc.</t>
  </si>
  <si>
    <t>05/28/2024 at 19:13:17 UTC</t>
  </si>
  <si>
    <t>Audioscan</t>
  </si>
  <si>
    <t>09/22/2023 at 18:42:14 UTC</t>
  </si>
  <si>
    <t>ACL Services Ltd.</t>
  </si>
  <si>
    <t>11/28/2023 at 19:44:20 UTC</t>
  </si>
  <si>
    <t>11/30/2023 at 17:15:45 UTC</t>
  </si>
  <si>
    <t>11/20/2024 at 14:40:19 UTC</t>
  </si>
  <si>
    <t>01/06/2025 at 02:04:58 UTC</t>
  </si>
  <si>
    <t>10/23/2024 at 01:31:22 UTC</t>
  </si>
  <si>
    <t>07/19/2024 at 02:54:56 UTC</t>
  </si>
  <si>
    <t>12/19/2024 at 15:06:40 UTC</t>
  </si>
  <si>
    <t>05/24/2024 at 16:48:52 UTC</t>
  </si>
  <si>
    <t>09/24/2024 at 16:22:03 UTC</t>
  </si>
  <si>
    <t>07/01/2024 at 14:13:56 UTC</t>
  </si>
  <si>
    <t>Evermap</t>
  </si>
  <si>
    <t>12/20/2024 at 22:31:52 UTC</t>
  </si>
  <si>
    <t>Automapper</t>
  </si>
  <si>
    <t>03/14/2024 at 16:03:45 UTC</t>
  </si>
  <si>
    <t>Distributed Solutions, Inc.</t>
  </si>
  <si>
    <t>07/19/2024 at 16:34:05 UTC</t>
  </si>
  <si>
    <t>02/15/2024 at 20:11:03 UTC</t>
  </si>
  <si>
    <t>06/21/2024 at 22:00:45 UTC</t>
  </si>
  <si>
    <t>AvaSure, LLC</t>
  </si>
  <si>
    <t>09/24/2024 at 16:22:09 UTC</t>
  </si>
  <si>
    <t>12/26/2023 at 13:44:22 UTC</t>
  </si>
  <si>
    <t>01/05/2023 at 01:51:04 UTC</t>
  </si>
  <si>
    <t>10/04/2024 at 20:50:52 UTC</t>
  </si>
  <si>
    <t>01/30/2024 at 01:07:24 UTC</t>
  </si>
  <si>
    <t>03/13/2023 at 16:47:57 UTC</t>
  </si>
  <si>
    <t>04/30/2024 at 17:14:33 UTC</t>
  </si>
  <si>
    <t>10/30/2024 at 15:24:52 UTC</t>
  </si>
  <si>
    <t>01/10/2023 at 02:26:15 UTC</t>
  </si>
  <si>
    <t>03/14/2024 at 16:03:52 UTC</t>
  </si>
  <si>
    <t>AVI-SPL</t>
  </si>
  <si>
    <t>Deque Systems</t>
  </si>
  <si>
    <t>06/06/2024 at 16:17:52 UTC</t>
  </si>
  <si>
    <t>04/02/2024 at 02:04:55 UTC</t>
  </si>
  <si>
    <t>Axon</t>
  </si>
  <si>
    <t>05/20/2024 at 17:25:10 UTC</t>
  </si>
  <si>
    <t>08/14/2024 at 18:01:42 UTC</t>
  </si>
  <si>
    <t>03/13/2024 at 17:14:11 UTC</t>
  </si>
  <si>
    <t>Veritas</t>
  </si>
  <si>
    <t>05/24/2024 at 16:48:57 UTC</t>
  </si>
  <si>
    <t>Badboy Software</t>
  </si>
  <si>
    <t>02/16/2023 at 18:14:53 UTC</t>
  </si>
  <si>
    <t>Balance Tracking Systems</t>
  </si>
  <si>
    <t>04/04/2023 at 02:07:17 UTC</t>
  </si>
  <si>
    <t>Balsamiq Studios, LLC</t>
  </si>
  <si>
    <t>01/10/2023 at 02:26:09 UTC</t>
  </si>
  <si>
    <t>Seagull Scientific</t>
  </si>
  <si>
    <t>04/24/2024 at 18:28:03 UTC</t>
  </si>
  <si>
    <t>04/01/2024 at 02:11:17 UTC</t>
  </si>
  <si>
    <t>TAL Technology</t>
  </si>
  <si>
    <t>01/03/2023 at 08:08:45 UTC</t>
  </si>
  <si>
    <t>02/14/2024 at 03:14:51 UTC</t>
  </si>
  <si>
    <t>OneMedNet</t>
  </si>
  <si>
    <t>06/21/2024 at 02:48:47 UTC</t>
  </si>
  <si>
    <t>PAR Inc.</t>
  </si>
  <si>
    <t>02/02/2024 at 03:13:45 UTC</t>
  </si>
  <si>
    <t>BeyondTrust Corporation</t>
  </si>
  <si>
    <t>10/02/2024 at 19:24:30 UTC</t>
  </si>
  <si>
    <t>HCL Technologies, Limited</t>
  </si>
  <si>
    <t>01/22/2024 at 02:13:13 UTC</t>
  </si>
  <si>
    <t>Cyber Armed</t>
  </si>
  <si>
    <t>01/03/2025 at 16:17:50 UTC</t>
  </si>
  <si>
    <t>Statistics Netherlands</t>
  </si>
  <si>
    <t>12/13/2024 at 19:38:09 UTC</t>
  </si>
  <si>
    <t>Blue Prism</t>
  </si>
  <si>
    <t>04/15/2024 at 15:52:20 UTC</t>
  </si>
  <si>
    <t>BMC Software</t>
  </si>
  <si>
    <t>09/19/2024 at 17:25:11 UTC</t>
  </si>
  <si>
    <t>11/28/2023 at 19:44:25 UTC</t>
  </si>
  <si>
    <t>04/16/2024 at 15:23:32 UTC</t>
  </si>
  <si>
    <t>08/16/2024 at 18:06:50 UTC</t>
  </si>
  <si>
    <t>Bodyswaps</t>
  </si>
  <si>
    <t>01/08/2025 at 18:20:26 UTC</t>
  </si>
  <si>
    <t>Bosch</t>
  </si>
  <si>
    <t>12/13/2024 at 19:38:12 UTC</t>
  </si>
  <si>
    <t>BrainLab</t>
  </si>
  <si>
    <t>04/01/2024 at 19:29:56 UTC</t>
  </si>
  <si>
    <t>10/31/2024 at 16:35:54 UTC</t>
  </si>
  <si>
    <t>BroadView Software Inc.</t>
  </si>
  <si>
    <t>01/11/2024 at 17:00:50 UTC</t>
  </si>
  <si>
    <t>B + S</t>
  </si>
  <si>
    <t>06/03/2024 at 19:06:12 UTC</t>
  </si>
  <si>
    <t>12/12/2023 at 12:52:41 UTC</t>
  </si>
  <si>
    <t>10/18/2024 at 18:03:16 UTC</t>
  </si>
  <si>
    <t>12/10/2024 at 18:07:38 UTC</t>
  </si>
  <si>
    <t>12/20/2024 at 22:31:43 UTC</t>
  </si>
  <si>
    <t>11/15/2022 at 13:31:32 UTC</t>
  </si>
  <si>
    <t>Calabrio, Inc.</t>
  </si>
  <si>
    <t>11/07/2024 at 19:09:23 UTC</t>
  </si>
  <si>
    <t>Carousel</t>
  </si>
  <si>
    <t>10/25/2024 at 15:59:05 UTC</t>
  </si>
  <si>
    <t>Canva</t>
  </si>
  <si>
    <t>Instructure</t>
  </si>
  <si>
    <t>07/16/2024 at 18:26:15 UTC</t>
  </si>
  <si>
    <t>Canvas GFX</t>
  </si>
  <si>
    <t>02/16/2024 at 17:19:50 UTC</t>
  </si>
  <si>
    <t>CaptureTech</t>
  </si>
  <si>
    <t>01/24/2024 at 03:41:03 UTC</t>
  </si>
  <si>
    <t>11/02/2023 at 18:47:55 UTC</t>
  </si>
  <si>
    <t>CardExchange Solutions</t>
  </si>
  <si>
    <t>04/19/2024 at 03:49:15 UTC</t>
  </si>
  <si>
    <t>CardImaging</t>
  </si>
  <si>
    <t>01/18/2024 at 17:17:04 UTC</t>
  </si>
  <si>
    <t>Stanford University</t>
  </si>
  <si>
    <t>11/09/2023 at 19:23:08 UTC</t>
  </si>
  <si>
    <t>04/05/2023 at 00:57:23 UTC</t>
  </si>
  <si>
    <t>Wes Todd</t>
  </si>
  <si>
    <t>cardPresso</t>
  </si>
  <si>
    <t>Engineered Care, Inc.</t>
  </si>
  <si>
    <t>01/07/2025 at 01:24:53 UTC</t>
  </si>
  <si>
    <t>Caregility</t>
  </si>
  <si>
    <t>03/04/2024 at 21:13:11 UTC</t>
  </si>
  <si>
    <t>Medtronic MiniMed</t>
  </si>
  <si>
    <t>10/25/2022 at 19:18:05 UTC</t>
  </si>
  <si>
    <t>03/14/2024 at 16:04:16 UTC</t>
  </si>
  <si>
    <t>General Devices</t>
  </si>
  <si>
    <t>US Department of Justice</t>
  </si>
  <si>
    <t>12/19/2023 at 19:20:34 UTC</t>
  </si>
  <si>
    <t>AMD</t>
  </si>
  <si>
    <t>01/03/2024 at 04:39:44 UTC</t>
  </si>
  <si>
    <t>CData Software</t>
  </si>
  <si>
    <t>11/07/2024 at 19:09:09 UTC</t>
  </si>
  <si>
    <t>Cellavision</t>
  </si>
  <si>
    <t>Celonis</t>
  </si>
  <si>
    <t>10/02/2024 at 19:24:27 UTC</t>
  </si>
  <si>
    <t>CNS Vital Signs, LLC</t>
  </si>
  <si>
    <t>05/11/2023 at 14:43:35 UTC</t>
  </si>
  <si>
    <t>06/06/2024 at 16:17:44 UTC</t>
  </si>
  <si>
    <t>Ceribell</t>
  </si>
  <si>
    <t>Cerner Corporation</t>
  </si>
  <si>
    <t>10/25/2022 at 00:16:05 UTC</t>
  </si>
  <si>
    <t>CFEngine</t>
  </si>
  <si>
    <t>02/21/2023 at 19:00:02 UTC</t>
  </si>
  <si>
    <t>SunView Software Inc.</t>
  </si>
  <si>
    <t>02/02/2024 at 03:13:44 UTC</t>
  </si>
  <si>
    <t>06/05/2024 at 16:37:41 UTC</t>
  </si>
  <si>
    <t>11/17/2023 at 03:57:58 UTC</t>
  </si>
  <si>
    <t>12/13/2024 at 19:38:13 UTC</t>
  </si>
  <si>
    <t>University of Texas Health Science Center</t>
  </si>
  <si>
    <t>12/21/2023 at 12:33:37 UTC</t>
  </si>
  <si>
    <t>XPerience Technologies</t>
  </si>
  <si>
    <t>12/10/2024 at 18:07:40 UTC</t>
  </si>
  <si>
    <t>Aruba Network, Inc.</t>
  </si>
  <si>
    <t>02/16/2023 at 18:15:09 UTC</t>
  </si>
  <si>
    <t>Riverain Technologies</t>
  </si>
  <si>
    <t>05/09/2024 at 19:08:25 UTC</t>
  </si>
  <si>
    <t>01/24/2024 at 03:39:40 UTC</t>
  </si>
  <si>
    <t>ClickLearn</t>
  </si>
  <si>
    <t>12/20/2023 at 19:06:12 UTC</t>
  </si>
  <si>
    <t>Barco</t>
  </si>
  <si>
    <t>12/27/2024 at 23:58:38 UTC</t>
  </si>
  <si>
    <t>CliniComp International</t>
  </si>
  <si>
    <t>09/26/2024 at 17:51:15 UTC</t>
  </si>
  <si>
    <t>02/02/2023 at 18:46:48 UTC</t>
  </si>
  <si>
    <t>Assa Abloy</t>
  </si>
  <si>
    <t>02/02/2024 at 03:13:38 UTC</t>
  </si>
  <si>
    <t>03/14/2024 at 16:04:23 UTC</t>
  </si>
  <si>
    <t>ClockSpring</t>
  </si>
  <si>
    <t>11/22/2023 at 14:59:43 UTC</t>
  </si>
  <si>
    <t>Cloud Maker</t>
  </si>
  <si>
    <t>12/12/2023 at 12:32:50 UTC</t>
  </si>
  <si>
    <t>Cloudbees</t>
  </si>
  <si>
    <t>04/30/2024 at 17:14:36 UTC</t>
  </si>
  <si>
    <t>Cloudflare Inc.</t>
  </si>
  <si>
    <t>Lansweeper</t>
  </si>
  <si>
    <t>Cockpit</t>
  </si>
  <si>
    <t>03/13/2024 at 17:14:26 UTC</t>
  </si>
  <si>
    <t>Code On Time</t>
  </si>
  <si>
    <t>CodeIgniter</t>
  </si>
  <si>
    <t>MI7</t>
  </si>
  <si>
    <t>HPC, Inc.</t>
  </si>
  <si>
    <t>02/14/2024 at 03:14:53 UTC</t>
  </si>
  <si>
    <t>Cogito Corp.</t>
  </si>
  <si>
    <t>Cohesity</t>
  </si>
  <si>
    <t>12/13/2024 at 19:39:19 UTC</t>
  </si>
  <si>
    <t>Stanford Medicine, Systems Neuroscience and Pain Lab (SNAPL)</t>
  </si>
  <si>
    <t>04/01/2024 at 02:08:19 UTC</t>
  </si>
  <si>
    <t>Collibra</t>
  </si>
  <si>
    <t>02/15/2024 at 23:03:52 UTC</t>
  </si>
  <si>
    <t>02/15/2024 at 23:03:56 UTC</t>
  </si>
  <si>
    <t>Haivision</t>
  </si>
  <si>
    <t>01/06/2025 at 16:59:02 UTC</t>
  </si>
  <si>
    <t>Ortus Solutions</t>
  </si>
  <si>
    <t>03/08/2024 at 03:13:22 UTC</t>
  </si>
  <si>
    <t>Allyant</t>
  </si>
  <si>
    <t>Electro Industries/ Gauge Tech</t>
  </si>
  <si>
    <t>07/19/2024 at 16:33:42 UTC</t>
  </si>
  <si>
    <t>08/27/2024 at 02:03:13 UTC</t>
  </si>
  <si>
    <t>02/07/2024 at 18:15:01 UTC</t>
  </si>
  <si>
    <t>Actionable Intelligence Technologies, Inc.</t>
  </si>
  <si>
    <t>11/08/2024 at 02:03:31 UTC</t>
  </si>
  <si>
    <t>CKAN</t>
  </si>
  <si>
    <t>04/22/2024 at 17:37:36 UTC</t>
  </si>
  <si>
    <t>National Oceanic and Atmospheric Administration (NOAA)</t>
  </si>
  <si>
    <t>07/01/2024 at 14:13:58 UTC</t>
  </si>
  <si>
    <t>05/22/2024 at 16:13:33 UTC</t>
  </si>
  <si>
    <t>Washington University School of Medicine</t>
  </si>
  <si>
    <t>Signia Group</t>
  </si>
  <si>
    <t>09/24/2024 at 16:22:00 UTC</t>
  </si>
  <si>
    <t>TDi Technologies</t>
  </si>
  <si>
    <t>01/11/2024 at 17:00:51 UTC</t>
  </si>
  <si>
    <t>05/09/2023 at 19:44:11 UTC</t>
  </si>
  <si>
    <t>ControlUp Technologies</t>
  </si>
  <si>
    <t>08/29/2024 at 15:54:40 UTC</t>
  </si>
  <si>
    <t>dominKnow</t>
  </si>
  <si>
    <t>01/04/2024 at 03:41:13 UTC</t>
  </si>
  <si>
    <t>Stalker Radar</t>
  </si>
  <si>
    <t>Capstorm</t>
  </si>
  <si>
    <t>01/18/2024 at 02:49:55 UTC</t>
  </si>
  <si>
    <t>South River Technologies, Inc.</t>
  </si>
  <si>
    <t>04/10/2024 at 17:16:56 UTC</t>
  </si>
  <si>
    <t>COZYROC</t>
  </si>
  <si>
    <t>03/04/2024 at 18:04:16 UTC</t>
  </si>
  <si>
    <t>03/20/2024 at 02:44:56 UTC</t>
  </si>
  <si>
    <t>Cribl</t>
  </si>
  <si>
    <t>12/20/2024 at 21:29:10 UTC</t>
  </si>
  <si>
    <t>Schneider Electric</t>
  </si>
  <si>
    <t>01/03/2024 at 04:39:43 UTC</t>
  </si>
  <si>
    <t>CrowdStrike</t>
  </si>
  <si>
    <t>10/16/2024 at 21:30:50 UTC</t>
  </si>
  <si>
    <t>04/01/2024 at 19:29:53 UTC</t>
  </si>
  <si>
    <t>Carestream Medical and Dental</t>
  </si>
  <si>
    <t>02/06/2024 at 02:01:13 UTC</t>
  </si>
  <si>
    <t>TeleComp</t>
  </si>
  <si>
    <t>09/23/2024 at 17:31:20 UTC</t>
  </si>
  <si>
    <t>CYBERARK</t>
  </si>
  <si>
    <t>08/19/2024 at 14:47:30 UTC</t>
  </si>
  <si>
    <t>11/07/2024 at 19:09:16 UTC</t>
  </si>
  <si>
    <t>11/15/2023 at 19:03:09 UTC</t>
  </si>
  <si>
    <t>Dalet</t>
  </si>
  <si>
    <t>12/27/2023 at 17:41:52 UTC</t>
  </si>
  <si>
    <t>Dapperlib</t>
  </si>
  <si>
    <t>11/20/2023 at 13:27:48 UTC</t>
  </si>
  <si>
    <t>CommScope</t>
  </si>
  <si>
    <t>11/14/2024 at 18:51:31 UTC</t>
  </si>
  <si>
    <t>03/27/2024 at 02:56:35 UTC</t>
  </si>
  <si>
    <t>Datadog, Inc.</t>
  </si>
  <si>
    <t>11/16/2023 at 14:10:22 UTC</t>
  </si>
  <si>
    <t>11/16/2023 at 14:10:23 UTC</t>
  </si>
  <si>
    <t>05/30/2024 at 02:59:24 UTC</t>
  </si>
  <si>
    <t>Ziath</t>
  </si>
  <si>
    <t>01/07/2025 at 01:24:58 UTC</t>
  </si>
  <si>
    <t>DataRay Incorporated</t>
  </si>
  <si>
    <t>06/03/2024 at 19:06:10 UTC</t>
  </si>
  <si>
    <t>DatStat</t>
  </si>
  <si>
    <t>03/29/2023 at 03:18:44 UTC</t>
  </si>
  <si>
    <t>University of Utah, Department of Biomedical Informatics</t>
  </si>
  <si>
    <t>04/08/2024 at 15:48:42 UTC</t>
  </si>
  <si>
    <t>05/11/2023 at 13:52:29 UTC</t>
  </si>
  <si>
    <t>DefendX Software</t>
  </si>
  <si>
    <t>03/29/2023 at 03:18:47 UTC</t>
  </si>
  <si>
    <t>Military Health System</t>
  </si>
  <si>
    <t>Deister Electronics USA INC</t>
  </si>
  <si>
    <t>01/11/2023 at 18:22:34 UTC</t>
  </si>
  <si>
    <t>01/08/2025 at 18:20:27 UTC</t>
  </si>
  <si>
    <t>03/20/2024 at 02:23:10 UTC</t>
  </si>
  <si>
    <t>PAR, Inc.</t>
  </si>
  <si>
    <t>05/01/2023 at 00:57:20 UTC</t>
  </si>
  <si>
    <t>Denodo Technologies, Inc.</t>
  </si>
  <si>
    <t>06/03/2024 at 19:06:17 UTC</t>
  </si>
  <si>
    <t>Balter Medical AS</t>
  </si>
  <si>
    <t>02/06/2024 at 02:01:15 UTC</t>
  </si>
  <si>
    <t>01/02/2025 at 15:06:26 UTC</t>
  </si>
  <si>
    <t>Dexcom</t>
  </si>
  <si>
    <t>10/25/2023 at 20:45:48 UTC</t>
  </si>
  <si>
    <t>DF/Net Research Inc.</t>
  </si>
  <si>
    <t>05/22/2024 at 16:13:36 UTC</t>
  </si>
  <si>
    <t>Anodyne</t>
  </si>
  <si>
    <t>10/31/2022 at 18:43:30 UTC</t>
  </si>
  <si>
    <t>Dickson</t>
  </si>
  <si>
    <t>SST Group</t>
  </si>
  <si>
    <t>Integrated Vital Medical Dynamics, LLC</t>
  </si>
  <si>
    <t>Delinea Inc.</t>
  </si>
  <si>
    <t>09/09/2024 at 16:40:38 UTC</t>
  </si>
  <si>
    <t>Discharge 1-2-3</t>
  </si>
  <si>
    <t>12/09/2022 at 20:09:57 UTC</t>
  </si>
  <si>
    <t>Fluxicon BV</t>
  </si>
  <si>
    <t>11/18/2024 at 14:26:43 UTC</t>
  </si>
  <si>
    <t>SI Systems</t>
  </si>
  <si>
    <t>11/08/2024 at 02:03:30 UTC</t>
  </si>
  <si>
    <t>Open Options</t>
  </si>
  <si>
    <t>07/02/2024 at 20:03:28 UTC</t>
  </si>
  <si>
    <t>10/31/2024 at 16:35:42 UTC</t>
  </si>
  <si>
    <t>09/28/2022 at 01:40:47 UTC</t>
  </si>
  <si>
    <t>04/25/2024 at 15:08:44 UTC</t>
  </si>
  <si>
    <t>06/10/2024 at 15:39:08 UTC</t>
  </si>
  <si>
    <t>01/30/2024 at 00:09:08 UTC</t>
  </si>
  <si>
    <t>11/14/2023 at 14:20:57 UTC</t>
  </si>
  <si>
    <t>Domo, Inc.</t>
  </si>
  <si>
    <t>11/08/2023 at 17:18:58 UTC</t>
  </si>
  <si>
    <t>04/04/2023 at 02:07:11 UTC</t>
  </si>
  <si>
    <t>Drupal</t>
  </si>
  <si>
    <t>11/12/2024 at 01:41:43 UTC</t>
  </si>
  <si>
    <t>Druva</t>
  </si>
  <si>
    <t>01/30/2024 at 01:08:49 UTC</t>
  </si>
  <si>
    <t>D-Scope Systems</t>
  </si>
  <si>
    <t>10/04/2023 at 14:58:26 UTC</t>
  </si>
  <si>
    <t>09/01/2022 at 20:19:25 UTC</t>
  </si>
  <si>
    <t>Dun &amp; Bradstreet</t>
  </si>
  <si>
    <t>03/25/2024 at 16:46:05 UTC</t>
  </si>
  <si>
    <t>CA Technologies</t>
  </si>
  <si>
    <t>04/04/2024 at 15:40:30 UTC</t>
  </si>
  <si>
    <t>Dynamsoft</t>
  </si>
  <si>
    <t>11/01/2023 at 16:44:58 UTC</t>
  </si>
  <si>
    <t>DynaTrace</t>
  </si>
  <si>
    <t>Phoenix Software</t>
  </si>
  <si>
    <t>10/29/2024 at 19:18:13 UTC</t>
  </si>
  <si>
    <t>Cytel</t>
  </si>
  <si>
    <t>11/30/2022 at 02:56:31 UTC</t>
  </si>
  <si>
    <t>LASCAR</t>
  </si>
  <si>
    <t>09/10/2024 at 15:46:04 UTC</t>
  </si>
  <si>
    <t>Cognosante</t>
  </si>
  <si>
    <t>01/10/2024 at 21:11:25 UTC</t>
  </si>
  <si>
    <t>11/22/2023 at 15:05:17 UTC</t>
  </si>
  <si>
    <t>Keysight Technologies</t>
  </si>
  <si>
    <t>01/06/2025 at 02:04:57 UTC</t>
  </si>
  <si>
    <t>Eggplant</t>
  </si>
  <si>
    <t>01/20/2023 at 19:57:15 UTC</t>
  </si>
  <si>
    <t>05/06/2024 at 17:36:26 UTC</t>
  </si>
  <si>
    <t>09/26/2024 at 17:51:04 UTC</t>
  </si>
  <si>
    <t>Spinetix</t>
  </si>
  <si>
    <t>06/06/2024 at 16:17:47 UTC</t>
  </si>
  <si>
    <t>EmailArchitect</t>
  </si>
  <si>
    <t>Matthew Eernisse</t>
  </si>
  <si>
    <t>01/11/2023 at 18:22:31 UTC</t>
  </si>
  <si>
    <t>11/25/2024 at 18:02:03 UTC</t>
  </si>
  <si>
    <t>11/14/2024 at 18:51:32 UTC</t>
  </si>
  <si>
    <t>10/07/2024 at 22:22:05 UTC</t>
  </si>
  <si>
    <t>dvsAnalytics</t>
  </si>
  <si>
    <t>02/02/2023 at 18:46:42 UTC</t>
  </si>
  <si>
    <t>Endicia</t>
  </si>
  <si>
    <t>09/17/2024 at 16:21:49 UTC</t>
  </si>
  <si>
    <t>12/06/2024 at 12:55:09 UTC</t>
  </si>
  <si>
    <t>Zoll Itamar</t>
  </si>
  <si>
    <t>11/14/2024 at 18:51:18 UTC</t>
  </si>
  <si>
    <t>02/23/2024 at 02:53:32 UTC</t>
  </si>
  <si>
    <t>10/14/2024 at 01:22:52 UTC</t>
  </si>
  <si>
    <t>Quadient</t>
  </si>
  <si>
    <t>09/01/2022 at 20:19:29 UTC</t>
  </si>
  <si>
    <t>Enterprise Health</t>
  </si>
  <si>
    <t>01/24/2024 at 03:39:20 UTC</t>
  </si>
  <si>
    <t>ESChat</t>
  </si>
  <si>
    <t>Technology Industries</t>
  </si>
  <si>
    <t>12/10/2024 at 21:43:11 UTC</t>
  </si>
  <si>
    <t>On Site Systems, Inc.</t>
  </si>
  <si>
    <t>EP Studio</t>
  </si>
  <si>
    <t>Ephesoft</t>
  </si>
  <si>
    <t>Interactive Performance Technologies (IPT)</t>
  </si>
  <si>
    <t>02/12/2024 at 20:36:37 UTC</t>
  </si>
  <si>
    <t>Equature</t>
  </si>
  <si>
    <t>04/04/2024 at 03:11:15 UTC</t>
  </si>
  <si>
    <t>eRAD</t>
  </si>
  <si>
    <t>02/12/2024 at 03:26:44 UTC</t>
  </si>
  <si>
    <t>AnX Robotics</t>
  </si>
  <si>
    <t>Xiasma Ltd.</t>
  </si>
  <si>
    <t>Optimal Solutions</t>
  </si>
  <si>
    <t>04/04/2023 at 02:07:22 UTC</t>
  </si>
  <si>
    <t>Exacq Technologies</t>
  </si>
  <si>
    <t>06/21/2024 at 22:00:35 UTC</t>
  </si>
  <si>
    <t>PeopleCert</t>
  </si>
  <si>
    <t>06/06/2024 at 16:17:53 UTC</t>
  </si>
  <si>
    <t>Level 4 Ventures, Inc.</t>
  </si>
  <si>
    <t>09/01/2022 at 20:19:38 UTC</t>
  </si>
  <si>
    <t>ExtraView Corporation</t>
  </si>
  <si>
    <t>Haag-Streit Diagnostics</t>
  </si>
  <si>
    <t>10/25/2023 at 03:34:42 UTC</t>
  </si>
  <si>
    <t>Meridiaars</t>
  </si>
  <si>
    <t>11/25/2024 at 18:02:56 UTC</t>
  </si>
  <si>
    <t>F5</t>
  </si>
  <si>
    <t>12/27/2024 at 23:58:30 UTC</t>
  </si>
  <si>
    <t>Bittium</t>
  </si>
  <si>
    <t>08/15/2022 at 02:35:29 UTC</t>
  </si>
  <si>
    <t>Fast Reports Inc.</t>
  </si>
  <si>
    <t>FDA</t>
  </si>
  <si>
    <t>07/15/2024 at 19:06:11 UTC</t>
  </si>
  <si>
    <t>03/20/2024 at 02:44:58 UTC</t>
  </si>
  <si>
    <t>FedEx, Inc</t>
  </si>
  <si>
    <t>05/14/2024 at 21:22:58 UTC</t>
  </si>
  <si>
    <t>09/26/2024 at 17:51:25 UTC</t>
  </si>
  <si>
    <t>09/26/2024 at 17:51:26 UTC</t>
  </si>
  <si>
    <t>09/26/2024 at 17:51:27 UTC</t>
  </si>
  <si>
    <t>09/26/2024 at 17:51:28 UTC</t>
  </si>
  <si>
    <t>09/26/2024 at 17:51:29 UTC</t>
  </si>
  <si>
    <t>03/14/2024 at 16:04:40 UTC</t>
  </si>
  <si>
    <t>Filehold Systems</t>
  </si>
  <si>
    <t>02/23/2024 at 14:30:52 UTC</t>
  </si>
  <si>
    <t>Claris</t>
  </si>
  <si>
    <t>FireDaemon</t>
  </si>
  <si>
    <t>Firefly Global Inc.</t>
  </si>
  <si>
    <t>Edwards Fire Safety</t>
  </si>
  <si>
    <t>Trintech</t>
  </si>
  <si>
    <t>11/06/2023 at 20:27:20 UTC</t>
  </si>
  <si>
    <t>The Pallets Projects</t>
  </si>
  <si>
    <t>11/26/2024 at 15:08:08 UTC</t>
  </si>
  <si>
    <t>Roland DGA Corporation</t>
  </si>
  <si>
    <t>10/23/2024 at 01:31:28 UTC</t>
  </si>
  <si>
    <t>FCDS</t>
  </si>
  <si>
    <t>04/30/2024 at 17:14:37 UTC</t>
  </si>
  <si>
    <t>Fluke</t>
  </si>
  <si>
    <t>FM:Systems</t>
  </si>
  <si>
    <t>01/18/2024 at 17:17:10 UTC</t>
  </si>
  <si>
    <t>.com Solutions Inc.</t>
  </si>
  <si>
    <t>12/22/2023 at 20:35:43 UTC</t>
  </si>
  <si>
    <t>Key Metric Software LLC</t>
  </si>
  <si>
    <t>11/14/2022 at 02:06:17 UTC</t>
  </si>
  <si>
    <t>Formlabs</t>
  </si>
  <si>
    <t>03/19/2024 at 00:47:27 UTC</t>
  </si>
  <si>
    <t>Framon Manufacturing Company, Inc.</t>
  </si>
  <si>
    <t>04/22/2024 at 17:37:30 UTC</t>
  </si>
  <si>
    <t>VSDC</t>
  </si>
  <si>
    <t>Abbott Diabetes Care</t>
  </si>
  <si>
    <t>04/01/2024 at 02:11:19 UTC</t>
  </si>
  <si>
    <t>12/09/2022 at 20:10:55 UTC</t>
  </si>
  <si>
    <t>Dolbey</t>
  </si>
  <si>
    <t>InfoSoft Global Private Limited, FusionCharts</t>
  </si>
  <si>
    <t>02/05/2024 at 18:07:07 UTC</t>
  </si>
  <si>
    <t>ActivInsights</t>
  </si>
  <si>
    <t>03/14/2024 at 16:06:23 UTC</t>
  </si>
  <si>
    <t>Genesys</t>
  </si>
  <si>
    <t>06/21/2024 at 02:48:45 UTC</t>
  </si>
  <si>
    <t>06/21/2024 at 02:48:46 UTC</t>
  </si>
  <si>
    <t>genetech</t>
  </si>
  <si>
    <t>01/09/2024 at 23:35:37 UTC</t>
  </si>
  <si>
    <t>GenoPro</t>
  </si>
  <si>
    <t>04/23/2024 at 01:42:35 UTC</t>
  </si>
  <si>
    <t>Georgia SoftWorks</t>
  </si>
  <si>
    <t>06/07/2024 at 18:33:12 UTC</t>
  </si>
  <si>
    <t>Gibson Ridge Software LLC</t>
  </si>
  <si>
    <t>01/07/2025 at 01:25:03 UTC</t>
  </si>
  <si>
    <t>All Safe Industries</t>
  </si>
  <si>
    <t>Sanford Federal</t>
  </si>
  <si>
    <t>07/12/2024 at 02:55:57 UTC</t>
  </si>
  <si>
    <t>Axosoft</t>
  </si>
  <si>
    <t>GitLab Inc.</t>
  </si>
  <si>
    <t>12/20/2024 at 22:31:46 UTC</t>
  </si>
  <si>
    <t>Gallagher &amp; Robertson (G&amp;R)</t>
  </si>
  <si>
    <t>09/16/2024 at 14:58:56 UTC</t>
  </si>
  <si>
    <t>NIH</t>
  </si>
  <si>
    <t>05/20/2024 at 17:25:09 UTC</t>
  </si>
  <si>
    <t>Global Med</t>
  </si>
  <si>
    <t>Optum, Inc.</t>
  </si>
  <si>
    <t>09/27/2024 at 15:50:04 UTC</t>
  </si>
  <si>
    <t>Google</t>
  </si>
  <si>
    <t>07/01/2024 at 14:13:52 UTC</t>
  </si>
  <si>
    <t>GRB</t>
  </si>
  <si>
    <t>12/06/2023 at 02:43:49 UTC</t>
  </si>
  <si>
    <t>UKG</t>
  </si>
  <si>
    <t>12/20/2024 at 22:31:51 UTC</t>
  </si>
  <si>
    <t>Stratasys</t>
  </si>
  <si>
    <t>10/17/2023 at 15:01:09 UTC</t>
  </si>
  <si>
    <t>Grafana</t>
  </si>
  <si>
    <t>GNU</t>
  </si>
  <si>
    <t>01/23/2024 at 01:30:37 UTC</t>
  </si>
  <si>
    <t>Guldmann Inc.</t>
  </si>
  <si>
    <t>07/30/2024 at 16:02:07 UTC</t>
  </si>
  <si>
    <t>Indica Labs</t>
  </si>
  <si>
    <t>04/28/2023 at 18:46:19 UTC</t>
  </si>
  <si>
    <t>Ham Radio Deluxe (HRD) Software, LLC</t>
  </si>
  <si>
    <t>Kanomax Inc.</t>
  </si>
  <si>
    <t>09/03/2024 at 15:13:36 UTC</t>
  </si>
  <si>
    <t>07/10/2024 at 19:17:22 UTC</t>
  </si>
  <si>
    <t>04/19/2024 at 03:49:17 UTC</t>
  </si>
  <si>
    <t>Healenium</t>
  </si>
  <si>
    <t>10/23/2023 at 14:42:50 UTC</t>
  </si>
  <si>
    <t>Health Financial Systems</t>
  </si>
  <si>
    <t>01/18/2023 at 17:07:44 UTC</t>
  </si>
  <si>
    <t>09/25/2024 at 18:22:50 UTC</t>
  </si>
  <si>
    <t>HVAC Solution</t>
  </si>
  <si>
    <t>12/27/2024 at 23:58:31 UTC</t>
  </si>
  <si>
    <t>Scientific Software International, Inc</t>
  </si>
  <si>
    <t>04/05/2023 at 00:57:30 UTC</t>
  </si>
  <si>
    <t>Highsoft</t>
  </si>
  <si>
    <t>06/07/2024 at 18:33:09 UTC</t>
  </si>
  <si>
    <t>Meyer Instruments</t>
  </si>
  <si>
    <t>07/03/2024 at 19:34:10 UTC</t>
  </si>
  <si>
    <t>04/19/2024 at 03:49:26 UTC</t>
  </si>
  <si>
    <t>Onset</t>
  </si>
  <si>
    <t>10/06/2023 at 02:26:09 UTC</t>
  </si>
  <si>
    <t>Caret</t>
  </si>
  <si>
    <t>Abacusnext</t>
  </si>
  <si>
    <t>04/22/2024 at 17:37:35 UTC</t>
  </si>
  <si>
    <t>SideFX</t>
  </si>
  <si>
    <t>Carrier United Technology</t>
  </si>
  <si>
    <t>07/10/2024 at 12:15:40 UTC</t>
  </si>
  <si>
    <t>10/16/2024 at 13:10:14 UTC</t>
  </si>
  <si>
    <t>01/18/2024 at 02:50:36 UTC</t>
  </si>
  <si>
    <t>04/12/2024 at 16:36:37 UTC</t>
  </si>
  <si>
    <t>10/30/2024 at 15:24:53 UTC</t>
  </si>
  <si>
    <t>Hunch.ly</t>
  </si>
  <si>
    <t>04/30/2024 at 17:14:30 UTC</t>
  </si>
  <si>
    <t>Hyperionics</t>
  </si>
  <si>
    <t>03/01/2024 at 00:55:46 UTC</t>
  </si>
  <si>
    <t>11/14/2019 at 08:55:25 UTC</t>
  </si>
  <si>
    <t>12/02/2024 at 22:22:19 UTC</t>
  </si>
  <si>
    <t>07/03/2024 at 19:34:04 UTC</t>
  </si>
  <si>
    <t>12/14/2023 at 16:04:15 UTC</t>
  </si>
  <si>
    <t>iCONECT</t>
  </si>
  <si>
    <t>IGEL</t>
  </si>
  <si>
    <t>04/12/2024 at 16:24:14 UTC</t>
  </si>
  <si>
    <t>Inductive Automation LLC</t>
  </si>
  <si>
    <t>02/14/2024 at 03:14:55 UTC</t>
  </si>
  <si>
    <t>04/24/2024 at 18:28:16 UTC</t>
  </si>
  <si>
    <t>Accusoft</t>
  </si>
  <si>
    <t>11/22/2022 at 22:30:48 UTC</t>
  </si>
  <si>
    <t>MediaCybernetics</t>
  </si>
  <si>
    <t>02/02/2024 at 03:13:50 UTC</t>
  </si>
  <si>
    <t>IDS Imaging Development Systems GmbH</t>
  </si>
  <si>
    <t>01/25/2023 at 18:04:23 UTC</t>
  </si>
  <si>
    <t>Sony Corporation</t>
  </si>
  <si>
    <t>IMAGINiT Technologies</t>
  </si>
  <si>
    <t>09/24/2024 at 16:21:59 UTC</t>
  </si>
  <si>
    <t>Verint</t>
  </si>
  <si>
    <t>10/19/2023 at 17:58:06 UTC</t>
  </si>
  <si>
    <t>Doug Finke</t>
  </si>
  <si>
    <t>04/22/2024 at 17:37:28 UTC</t>
  </si>
  <si>
    <t>FEMA</t>
  </si>
  <si>
    <t>12/18/2022 at 20:27:48 UTC</t>
  </si>
  <si>
    <t>Titan Cloud Software</t>
  </si>
  <si>
    <t>07/19/2024 at 16:33:46 UTC</t>
  </si>
  <si>
    <t>ISI Telemanagement Solutions, Inc.</t>
  </si>
  <si>
    <t>03/29/2023 at 03:18:46 UTC</t>
  </si>
  <si>
    <t>07/01/2024 at 19:39:39 UTC</t>
  </si>
  <si>
    <t>TechEd Marketing Ltd</t>
  </si>
  <si>
    <t>06/07/2024 at 18:33:17 UTC</t>
  </si>
  <si>
    <t>MEND Technology, LLC</t>
  </si>
  <si>
    <t>02/07/2024 at 18:15:17 UTC</t>
  </si>
  <si>
    <t>Integrated Research (IR)</t>
  </si>
  <si>
    <t>02/02/2024 at 03:13:37 UTC</t>
  </si>
  <si>
    <t>Intelicode</t>
  </si>
  <si>
    <t>11/22/2023 at 14:50:52 UTC</t>
  </si>
  <si>
    <t>The Macro Group, Inc.</t>
  </si>
  <si>
    <t>04/04/2023 at 02:07:16 UTC</t>
  </si>
  <si>
    <t>07/15/2024 at 19:50:16 UTC</t>
  </si>
  <si>
    <t>09/12/2024 at 16:58:24 UTC</t>
  </si>
  <si>
    <t>11/26/2024 at 15:08:21 UTC</t>
  </si>
  <si>
    <t>02/28/2023 at 20:32:27 UTC</t>
  </si>
  <si>
    <t>09/19/2024 at 17:25:27 UTC</t>
  </si>
  <si>
    <t>01/30/2024 at 01:09:30 UTC</t>
  </si>
  <si>
    <t>01/03/2024 at 04:39:47 UTC</t>
  </si>
  <si>
    <t>06/10/2024 at 15:39:09 UTC</t>
  </si>
  <si>
    <t>01/02/2025 at 15:06:28 UTC</t>
  </si>
  <si>
    <t>12/20/2024 at 21:29:12 UTC</t>
  </si>
  <si>
    <t>12/02/2024 at 22:51:13 UTC</t>
  </si>
  <si>
    <t>Nartac Software</t>
  </si>
  <si>
    <t>11/16/2023 at 20:31:18 UTC</t>
  </si>
  <si>
    <t>Boson</t>
  </si>
  <si>
    <t>05/01/2024 at 19:32:12 UTC</t>
  </si>
  <si>
    <t>12/09/2022 at 19:30:46 UTC</t>
  </si>
  <si>
    <t>Amano McGann</t>
  </si>
  <si>
    <t>06/07/2024 at 18:33:14 UTC</t>
  </si>
  <si>
    <t>iperf.fr</t>
  </si>
  <si>
    <t>04/24/2024 at 18:26:58 UTC</t>
  </si>
  <si>
    <t>IPV</t>
  </si>
  <si>
    <t>DataLocker</t>
  </si>
  <si>
    <t>04/19/2024 at 03:49:30 UTC</t>
  </si>
  <si>
    <t>iRound for Patient Experience</t>
  </si>
  <si>
    <t>ISGUS</t>
  </si>
  <si>
    <t>iSpring</t>
  </si>
  <si>
    <t>10/31/2024 at 16:35:38 UTC</t>
  </si>
  <si>
    <t>10/29/2024 at 19:18:20 UTC</t>
  </si>
  <si>
    <t>10/31/2024 at 16:35:50 UTC</t>
  </si>
  <si>
    <t>Ivoclar Vivaden</t>
  </si>
  <si>
    <t>AiPhone</t>
  </si>
  <si>
    <t>12/13/2024 at 19:36:22 UTC</t>
  </si>
  <si>
    <t>Pivotal Labs</t>
  </si>
  <si>
    <t>12/26/2023 at 22:06:12 UTC</t>
  </si>
  <si>
    <t>Newtonsoft</t>
  </si>
  <si>
    <t>11/30/2022 at 19:34:53 UTC</t>
  </si>
  <si>
    <t>Jenkins</t>
  </si>
  <si>
    <t>07/01/2024 at 19:39:33 UTC</t>
  </si>
  <si>
    <t>01/30/2024 at 01:09:34 UTC</t>
  </si>
  <si>
    <t>FORTRA</t>
  </si>
  <si>
    <t>12/09/2022 at 20:10:41 UTC</t>
  </si>
  <si>
    <t>07/25/2024 at 14:43:01 UTC</t>
  </si>
  <si>
    <t>Johnson, Roberts and Associates, Inc. (JRA)</t>
  </si>
  <si>
    <t>04/01/2024 at 02:11:14 UTC</t>
  </si>
  <si>
    <t>NCI</t>
  </si>
  <si>
    <t>05/11/2023 at 14:43:34 UTC</t>
  </si>
  <si>
    <t>Hartgen Consultancy</t>
  </si>
  <si>
    <t>Jscape</t>
  </si>
  <si>
    <t>Kevin Decker</t>
  </si>
  <si>
    <t>04/24/2024 at 18:28:19 UTC</t>
  </si>
  <si>
    <t>AG Mednet, Inc.</t>
  </si>
  <si>
    <t>JumpMind</t>
  </si>
  <si>
    <t>09/25/2024 at 01:50:22 UTC</t>
  </si>
  <si>
    <t>Kahua</t>
  </si>
  <si>
    <t>12/20/2024 at 22:31:48 UTC</t>
  </si>
  <si>
    <t>Kardex Remstar</t>
  </si>
  <si>
    <t>01/17/2024 at 03:52:00 UTC</t>
  </si>
  <si>
    <t>Karma</t>
  </si>
  <si>
    <t>07/01/2024 at 15:53:15 UTC</t>
  </si>
  <si>
    <t>KMS Technology</t>
  </si>
  <si>
    <t>02/23/2024 at 02:53:45 UTC</t>
  </si>
  <si>
    <t>08/12/2024 at 15:25:18 UTC</t>
  </si>
  <si>
    <t>08/16/2024 at 18:06:45 UTC</t>
  </si>
  <si>
    <t>09/12/2024 at 16:25:03 UTC</t>
  </si>
  <si>
    <t>09/23/2024 at 17:08:24 UTC</t>
  </si>
  <si>
    <t>Best Access Systems (Stanley Security Solutions)</t>
  </si>
  <si>
    <t>07/15/2024 at 19:50:18 UTC</t>
  </si>
  <si>
    <t>Kinovea</t>
  </si>
  <si>
    <t>12/06/2024 at 12:55:11 UTC</t>
  </si>
  <si>
    <t>Genetec</t>
  </si>
  <si>
    <t>Kodak Alaris</t>
  </si>
  <si>
    <t>11/25/2024 at 18:02:53 UTC</t>
  </si>
  <si>
    <t>Konga</t>
  </si>
  <si>
    <t>Korbyt</t>
  </si>
  <si>
    <t>02/16/2024 at 17:19:54 UTC</t>
  </si>
  <si>
    <t>ADInstruments</t>
  </si>
  <si>
    <t>01/20/2023 at 19:57:23 UTC</t>
  </si>
  <si>
    <t>06/18/2024 at 21:36:01 UTC</t>
  </si>
  <si>
    <t>Language Line Solutions</t>
  </si>
  <si>
    <t>11/02/2023 at 18:48:00 UTC</t>
  </si>
  <si>
    <t>Lantronix</t>
  </si>
  <si>
    <t>08/28/2024 at 17:43:17 UTC</t>
  </si>
  <si>
    <t>11/27/2024 at 00:44:26 UTC</t>
  </si>
  <si>
    <t>Leapwork</t>
  </si>
  <si>
    <t>LSVT Global, Inc.</t>
  </si>
  <si>
    <t>10/23/2023 at 14:22:13 UTC</t>
  </si>
  <si>
    <t>Leica Microsystems</t>
  </si>
  <si>
    <t>11/02/2023 at 19:33:57 UTC</t>
  </si>
  <si>
    <t>04/24/2024 at 18:28:21 UTC</t>
  </si>
  <si>
    <t>Lexmark</t>
  </si>
  <si>
    <t>09/19/2024 at 01:09:36 UTC</t>
  </si>
  <si>
    <t>04/10/2024 at 17:17:01 UTC</t>
  </si>
  <si>
    <t>LG</t>
  </si>
  <si>
    <t>Third Iron</t>
  </si>
  <si>
    <t>NEC</t>
  </si>
  <si>
    <t>Liferay</t>
  </si>
  <si>
    <t>10/03/2024 at 15:55:51 UTC</t>
  </si>
  <si>
    <t>Sawtooth Software</t>
  </si>
  <si>
    <t>11/28/2023 at 19:44:24 UTC</t>
  </si>
  <si>
    <t>The LimeSurvey Project</t>
  </si>
  <si>
    <t>Graham Bates (gigabates)</t>
  </si>
  <si>
    <t>01/17/2023 at 17:42:15 UTC</t>
  </si>
  <si>
    <t>Fluke Networks</t>
  </si>
  <si>
    <t>10/18/2024 at 18:16:18 UTC</t>
  </si>
  <si>
    <t>LiveAction</t>
  </si>
  <si>
    <t>07/24/2024 at 04:25:17 UTC</t>
  </si>
  <si>
    <t>Crossmatch Technologies</t>
  </si>
  <si>
    <t>LiveScribe</t>
  </si>
  <si>
    <t>11/14/2023 at 14:20:58 UTC</t>
  </si>
  <si>
    <t>02/14/2023 at 03:11:06 UTC</t>
  </si>
  <si>
    <t>03/29/2024 at 02:26:08 UTC</t>
  </si>
  <si>
    <t>LogTag Recorders</t>
  </si>
  <si>
    <t>09/29/2022 at 16:40:22 UTC</t>
  </si>
  <si>
    <t>DxSoft, Inc.</t>
  </si>
  <si>
    <t>09/10/2024 at 15:00:19 UTC</t>
  </si>
  <si>
    <t>Omron</t>
  </si>
  <si>
    <t>LYNXPM, L.L.C</t>
  </si>
  <si>
    <t>Micro Technology Services</t>
  </si>
  <si>
    <t>12/06/2023 at 02:44:00 UTC</t>
  </si>
  <si>
    <t>Mach7 Technologies</t>
  </si>
  <si>
    <t>08/27/2024 at 02:02:48 UTC</t>
  </si>
  <si>
    <t>Samsung</t>
  </si>
  <si>
    <t>02/12/2024 at 20:36:45 UTC</t>
  </si>
  <si>
    <t>Equifax</t>
  </si>
  <si>
    <t>Makerbot</t>
  </si>
  <si>
    <t>ArcanaNetworks</t>
  </si>
  <si>
    <t>ManagerPlus</t>
  </si>
  <si>
    <t>04/22/2024 at 16:22:28 UTC</t>
  </si>
  <si>
    <t>Mandarin Library Automation, Inc.</t>
  </si>
  <si>
    <t>Caliper</t>
  </si>
  <si>
    <t>12/19/2024 at 15:06:42 UTC</t>
  </si>
  <si>
    <t>11/02/2023 at 18:48:02 UTC</t>
  </si>
  <si>
    <t>Materialise</t>
  </si>
  <si>
    <t>Wolfram Research</t>
  </si>
  <si>
    <t>Wiris</t>
  </si>
  <si>
    <t>12/19/2023 at 19:14:32 UTC</t>
  </si>
  <si>
    <t>04/10/2024 at 17:17:09 UTC</t>
  </si>
  <si>
    <t>MedCalc Software</t>
  </si>
  <si>
    <t>02/23/2024 at 14:30:49 UTC</t>
  </si>
  <si>
    <t>Prudentia Group</t>
  </si>
  <si>
    <t>Medeco</t>
  </si>
  <si>
    <t>08/29/2024 at 15:55:00 UTC</t>
  </si>
  <si>
    <t>05/07/2024 at 03:25:23 UTC</t>
  </si>
  <si>
    <t>Cable Time (MediaStar)</t>
  </si>
  <si>
    <t>02/27/2024 at 03:42:59 UTC</t>
  </si>
  <si>
    <t>Wikimedia Foundation</t>
  </si>
  <si>
    <t>Mirdsoft</t>
  </si>
  <si>
    <t>11/14/2024 at 18:51:27 UTC</t>
  </si>
  <si>
    <t>12/15/2023 at 19:32:50 UTC</t>
  </si>
  <si>
    <t>Medicity</t>
  </si>
  <si>
    <t>11/14/2022 at 17:43:06 UTC</t>
  </si>
  <si>
    <t>MedVantage</t>
  </si>
  <si>
    <t>11/15/2023 at 19:03:10 UTC</t>
  </si>
  <si>
    <t>Mestrelab Research</t>
  </si>
  <si>
    <t>01/11/2024 at 16:59:22 UTC</t>
  </si>
  <si>
    <t>11/06/2024 at 02:07:47 UTC</t>
  </si>
  <si>
    <t>11/06/2024 at 02:07:48 UTC</t>
  </si>
  <si>
    <t>01/30/2024 at 01:10:00 UTC</t>
  </si>
  <si>
    <t>MicroStrategy</t>
  </si>
  <si>
    <t>US Army Corps of Engineers</t>
  </si>
  <si>
    <t>05/22/2024 at 16:15:31 UTC</t>
  </si>
  <si>
    <t>Kidasa Software</t>
  </si>
  <si>
    <t>12/28/2023 at 20:12:14 UTC</t>
  </si>
  <si>
    <t>10/03/2022 at 19:04:02 UTC</t>
  </si>
  <si>
    <t>Mindware Technologies LTD</t>
  </si>
  <si>
    <t>04/29/2024 at 16:45:41 UTC</t>
  </si>
  <si>
    <t>Minitab Inc.</t>
  </si>
  <si>
    <t>NextGen</t>
  </si>
  <si>
    <t>Mitel Networks Corporation</t>
  </si>
  <si>
    <t>07/01/2024 at 14:13:53 UTC</t>
  </si>
  <si>
    <t>01/18/2024 at 02:51:34 UTC</t>
  </si>
  <si>
    <t>01/18/2024 at 17:17:18 UTC</t>
  </si>
  <si>
    <t>Nemours Speech Research Laboratory</t>
  </si>
  <si>
    <t>12/22/2022 at 23:05:51 UTC</t>
  </si>
  <si>
    <t>Moodle Pty Ltd</t>
  </si>
  <si>
    <t>07/05/2023 at 14:12:01 UTC</t>
  </si>
  <si>
    <t>CGI</t>
  </si>
  <si>
    <t>08/29/2024 at 15:54:39 UTC</t>
  </si>
  <si>
    <t>MongoDB Inc.</t>
  </si>
  <si>
    <t>09/18/2023 at 14:59:39 UTC</t>
  </si>
  <si>
    <t>Community Brands</t>
  </si>
  <si>
    <t>11/08/2024 at 02:03:23 UTC</t>
  </si>
  <si>
    <t>APDM Wearable Technologies Inc.</t>
  </si>
  <si>
    <t>05/06/2024 at 17:36:21 UTC</t>
  </si>
  <si>
    <t>TechMed3D</t>
  </si>
  <si>
    <t>10/07/2024 at 22:22:10 UTC</t>
  </si>
  <si>
    <t>11/15/2024 at 21:35:12 UTC</t>
  </si>
  <si>
    <t>08/06/2024 at 18:46:15 UTC</t>
  </si>
  <si>
    <t>05/01/2024 at 19:32:14 UTC</t>
  </si>
  <si>
    <t>Intercede</t>
  </si>
  <si>
    <t>04/11/2024 at 15:53:22 UTC</t>
  </si>
  <si>
    <t>Nagios Enterprises</t>
  </si>
  <si>
    <t>11/20/2023 at 13:27:47 UTC</t>
  </si>
  <si>
    <t>01/25/2024 at 01:34:34 UTC</t>
  </si>
  <si>
    <t>01/03/2024 at 04:39:53 UTC</t>
  </si>
  <si>
    <t>01/03/2024 at 04:39:52 UTC</t>
  </si>
  <si>
    <t>01/03/2024 at 04:39:49 UTC</t>
  </si>
  <si>
    <t>12/02/2024 at 22:51:10 UTC</t>
  </si>
  <si>
    <t>10/13/2023 at 13:39:57 UTC</t>
  </si>
  <si>
    <t>Neo Technology</t>
  </si>
  <si>
    <t>02/14/2024 at 03:15:02 UTC</t>
  </si>
  <si>
    <t>Datacap Systems, Inc.</t>
  </si>
  <si>
    <t>02/27/2024 at 03:43:48 UTC</t>
  </si>
  <si>
    <t>02/12/2024 at 14:52:25 UTC</t>
  </si>
  <si>
    <t>NetBrain</t>
  </si>
  <si>
    <t>05/08/2024 at 13:47:58 UTC</t>
  </si>
  <si>
    <t>Netskope</t>
  </si>
  <si>
    <t>10/18/2024 at 17:34:24 UTC</t>
  </si>
  <si>
    <t>Netwrix</t>
  </si>
  <si>
    <t>12/19/2024 at 15:06:45 UTC</t>
  </si>
  <si>
    <t>NeuroTrax</t>
  </si>
  <si>
    <t>Eventide</t>
  </si>
  <si>
    <t>11/29/2024 at 21:12:09 UTC</t>
  </si>
  <si>
    <t>SonaType</t>
  </si>
  <si>
    <t>03/14/2024 at 15:09:09 UTC</t>
  </si>
  <si>
    <t>Tridium</t>
  </si>
  <si>
    <t>11/04/2022 at 00:18:51 UTC</t>
  </si>
  <si>
    <t>12/21/2023 at 15:12:15 UTC</t>
  </si>
  <si>
    <t>Loftware</t>
  </si>
  <si>
    <t>04/10/2024 at 17:17:13 UTC</t>
  </si>
  <si>
    <t>Enkari, Ltd</t>
  </si>
  <si>
    <t>09/19/2022 at 18:57:47 UTC</t>
  </si>
  <si>
    <t>NLog</t>
  </si>
  <si>
    <t>12/15/2023 at 19:32:51 UTC</t>
  </si>
  <si>
    <t>Nlyte</t>
  </si>
  <si>
    <t>08/16/2024 at 18:06:51 UTC</t>
  </si>
  <si>
    <t>08/06/2024 at 18:47:13 UTC</t>
  </si>
  <si>
    <t>Nordic Neuro Lab</t>
  </si>
  <si>
    <t>03/27/2024 at 01:49:34 UTC</t>
  </si>
  <si>
    <t>Charm Sciences, Inc.</t>
  </si>
  <si>
    <t>06/11/2024 at 16:45:44 UTC</t>
  </si>
  <si>
    <t>Nova Biomedical</t>
  </si>
  <si>
    <t>06/13/2024 at 16:57:14 UTC</t>
  </si>
  <si>
    <t>Statsols</t>
  </si>
  <si>
    <t>05/09/2023 at 19:44:10 UTC</t>
  </si>
  <si>
    <t>11/14/2024 at 18:51:24 UTC</t>
  </si>
  <si>
    <t>Computrition</t>
  </si>
  <si>
    <t>10/10/2023 at 16:08:26 UTC</t>
  </si>
  <si>
    <t>03/13/2024 at 17:14:31 UTC</t>
  </si>
  <si>
    <t>07/19/2024 at 16:34:06 UTC</t>
  </si>
  <si>
    <t>Obsidian Software</t>
  </si>
  <si>
    <t>10/27/2023 at 17:43:41 UTC</t>
  </si>
  <si>
    <t>RTI Group</t>
  </si>
  <si>
    <t>Octopus Deploy</t>
  </si>
  <si>
    <t>Qognify</t>
  </si>
  <si>
    <t>02/22/2023 at 19:05:54 UTC</t>
  </si>
  <si>
    <t>Okta</t>
  </si>
  <si>
    <t>04/23/2024 at 01:42:38 UTC</t>
  </si>
  <si>
    <t>12/12/2023 at 12:32:47 UTC</t>
  </si>
  <si>
    <t>06/11/2024 at 16:45:45 UTC</t>
  </si>
  <si>
    <t>Omnigo</t>
  </si>
  <si>
    <t>09/21/2022 at 02:03:57 UTC</t>
  </si>
  <si>
    <t>04/23/2024 at 01:42:39 UTC</t>
  </si>
  <si>
    <t>Tungsten Automation</t>
  </si>
  <si>
    <t>07/03/2024 at 19:34:03 UTC</t>
  </si>
  <si>
    <t>06/03/2024 at 19:06:11 UTC</t>
  </si>
  <si>
    <t>Obiba</t>
  </si>
  <si>
    <t>05/08/2024 at 13:47:54 UTC</t>
  </si>
  <si>
    <t>OpenClinica</t>
  </si>
  <si>
    <t>04/11/2024 at 15:53:11 UTC</t>
  </si>
  <si>
    <t>07/03/2024 at 19:34:05 UTC</t>
  </si>
  <si>
    <t>09/12/2024 at 16:25:04 UTC</t>
  </si>
  <si>
    <t>Opticon USA</t>
  </si>
  <si>
    <t>01/07/2025 at 01:25:05 UTC</t>
  </si>
  <si>
    <t>04/11/2024 at 15:53:12 UTC</t>
  </si>
  <si>
    <t>Oqton</t>
  </si>
  <si>
    <t>04/01/2024 at 19:29:54 UTC</t>
  </si>
  <si>
    <t>12/06/2023 at 02:43:53 UTC</t>
  </si>
  <si>
    <t>09/26/2024 at 17:51:18 UTC</t>
  </si>
  <si>
    <t>10/28/2024 at 23:36:43 UTC</t>
  </si>
  <si>
    <t>10/14/2024 at 01:22:56 UTC</t>
  </si>
  <si>
    <t>08/25/2023 at 15:05:23 UTC</t>
  </si>
  <si>
    <t>02/02/2024 at 03:13:46 UTC</t>
  </si>
  <si>
    <t>Bureau of the Fiscal Service</t>
  </si>
  <si>
    <t>Paessler AG</t>
  </si>
  <si>
    <t>NotePage, Inc.</t>
  </si>
  <si>
    <t>OpenSC (Smart Card)</t>
  </si>
  <si>
    <t>12/14/2023 at 21:59:05 UTC</t>
  </si>
  <si>
    <t>12/12/2023 at 13:01:48 UTC</t>
  </si>
  <si>
    <t>Parable Health, Inc.</t>
  </si>
  <si>
    <t>03/27/2023 at 15:43:21 UTC</t>
  </si>
  <si>
    <t>PTC</t>
  </si>
  <si>
    <t>11/29/2023 at 19:30:01 UTC</t>
  </si>
  <si>
    <t>ReportAll</t>
  </si>
  <si>
    <t>07/19/2024 at 16:33:52 UTC</t>
  </si>
  <si>
    <t>11/25/2024 at 18:01:49 UTC</t>
  </si>
  <si>
    <t>11/25/2024 at 18:02:08 UTC</t>
  </si>
  <si>
    <t>Radiation and Nuclear Safety Authority of Finland (STUK)</t>
  </si>
  <si>
    <t>PDQ</t>
  </si>
  <si>
    <t>03/06/2024 at 04:24:49 UTC</t>
  </si>
  <si>
    <t>Pelco</t>
  </si>
  <si>
    <t>PERRLA, LLC</t>
  </si>
  <si>
    <t>06/18/2024 at 16:25:02 UTC</t>
  </si>
  <si>
    <t>05/22/2024 at 16:15:15 UTC</t>
  </si>
  <si>
    <t>02/12/2024 at 20:36:47 UTC</t>
  </si>
  <si>
    <t>PHP Group</t>
  </si>
  <si>
    <t>Persyst Development Corporation</t>
  </si>
  <si>
    <t>01/04/2024 at 03:41:21 UTC</t>
  </si>
  <si>
    <t>Pevco</t>
  </si>
  <si>
    <t>06/03/2024 at 19:05:42 UTC</t>
  </si>
  <si>
    <t>10/29/2024 at 19:18:21 UTC</t>
  </si>
  <si>
    <t>12/14/2023 at 13:36:49 UTC</t>
  </si>
  <si>
    <t>NCH Software</t>
  </si>
  <si>
    <t>03/04/2024 at 18:04:15 UTC</t>
  </si>
  <si>
    <t>06/18/2024 at 21:35:49 UTC</t>
  </si>
  <si>
    <t>Bartels Media GmbH</t>
  </si>
  <si>
    <t>12/29/2023 at 15:28:43 UTC</t>
  </si>
  <si>
    <t>01/30/2024 at 01:10:17 UTC</t>
  </si>
  <si>
    <t>Sielox LLC</t>
  </si>
  <si>
    <t>PIPE-FLO Software</t>
  </si>
  <si>
    <t>07/25/2024 at 14:43:03 UTC</t>
  </si>
  <si>
    <t>Standard Imaging Inc.</t>
  </si>
  <si>
    <t>10/03/2023 at 15:45:26 UTC</t>
  </si>
  <si>
    <t>.decimal, LLC</t>
  </si>
  <si>
    <t>11/25/2024 at 18:01:56 UTC</t>
  </si>
  <si>
    <t>Tasktop Technologies</t>
  </si>
  <si>
    <t>07/01/2024 at 15:53:11 UTC</t>
  </si>
  <si>
    <t>Open Steno Project</t>
  </si>
  <si>
    <t>Poly</t>
  </si>
  <si>
    <t>07/01/2024 at 15:53:18 UTC</t>
  </si>
  <si>
    <t>Megaputer</t>
  </si>
  <si>
    <t>03/27/2024 at 02:56:33 UTC</t>
  </si>
  <si>
    <t>PDFsam</t>
  </si>
  <si>
    <t>05/07/2024 at 03:25:21 UTC</t>
  </si>
  <si>
    <t>Extensis</t>
  </si>
  <si>
    <t>01/11/2024 at 17:00:46 UTC</t>
  </si>
  <si>
    <t>BI Connector</t>
  </si>
  <si>
    <t>Data-Marc</t>
  </si>
  <si>
    <t>10/13/2023 at 18:32:49 UTC</t>
  </si>
  <si>
    <t>Tabular Tools</t>
  </si>
  <si>
    <t>12/13/2024 at 19:36:25 UTC</t>
  </si>
  <si>
    <t>IMS Imaging</t>
  </si>
  <si>
    <t>04/01/2024 at 02:08:20 UTC</t>
  </si>
  <si>
    <t>10/14/2024 at 01:23:24 UTC</t>
  </si>
  <si>
    <t>DART</t>
  </si>
  <si>
    <t>Tripp Lite</t>
  </si>
  <si>
    <t>01/30/2024 at 01:10:24 UTC</t>
  </si>
  <si>
    <t>APC</t>
  </si>
  <si>
    <t>03/28/2024 at 15:20:16 UTC</t>
  </si>
  <si>
    <t>04/30/2024 at 17:14:32 UTC</t>
  </si>
  <si>
    <t>Cyber Power Systems</t>
  </si>
  <si>
    <t>02/06/2024 at 02:01:32 UTC</t>
  </si>
  <si>
    <t>03/13/2024 at 17:16:52 UTC</t>
  </si>
  <si>
    <t>01/30/2024 at 00:09:48 UTC</t>
  </si>
  <si>
    <t>InteleRad</t>
  </si>
  <si>
    <t>Astute Imaging,</t>
  </si>
  <si>
    <t>PrinterLogic</t>
  </si>
  <si>
    <t>05/16/2024 at 15:53:32 UTC</t>
  </si>
  <si>
    <t>11/22/2023 at 14:40:34 UTC</t>
  </si>
  <si>
    <t>Advantive</t>
  </si>
  <si>
    <t>01/30/2024 at 01:10:35 UTC</t>
  </si>
  <si>
    <t>Procore Technologies, Inc.</t>
  </si>
  <si>
    <t>Re:Discovery Software</t>
  </si>
  <si>
    <t>03/11/2024 at 14:14:34 UTC</t>
  </si>
  <si>
    <t>Cypress Semiconductor Corporation</t>
  </si>
  <si>
    <t>04/04/2023 at 02:07:20 UTC</t>
  </si>
  <si>
    <t>Provar</t>
  </si>
  <si>
    <t>05/24/2024 at 16:48:49 UTC</t>
  </si>
  <si>
    <t>Linric Company</t>
  </si>
  <si>
    <t>08/28/2024 at 17:43:14 UTC</t>
  </si>
  <si>
    <t>Pyramid Analytics</t>
  </si>
  <si>
    <t>02/22/2024 at 02:56:05 UTC</t>
  </si>
  <si>
    <t>Pyramid Time</t>
  </si>
  <si>
    <t>ACF</t>
  </si>
  <si>
    <t>02/22/2024 at 03:38:33 UTC</t>
  </si>
  <si>
    <t>Qlik</t>
  </si>
  <si>
    <t>11/29/2024 at 17:31:34 UTC</t>
  </si>
  <si>
    <t>Ideagen</t>
  </si>
  <si>
    <t>07/19/2024 at 16:34:07 UTC</t>
  </si>
  <si>
    <t>QSC</t>
  </si>
  <si>
    <t>08/27/2024 at 15:28:17 UTC</t>
  </si>
  <si>
    <t>09/27/2024 at 16:28:41 UTC</t>
  </si>
  <si>
    <t>QualityMetric</t>
  </si>
  <si>
    <t>QGIS User Group</t>
  </si>
  <si>
    <t>Revvity</t>
  </si>
  <si>
    <t>12/22/2023 at 20:39:04 UTC</t>
  </si>
  <si>
    <t>Intellikey</t>
  </si>
  <si>
    <t>07/01/2024 at 19:39:32 UTC</t>
  </si>
  <si>
    <t>Lutron Electronics Co., Inc.</t>
  </si>
  <si>
    <t>06/03/2024 at 19:06:01 UTC</t>
  </si>
  <si>
    <t>11/20/2024 at 14:40:24 UTC</t>
  </si>
  <si>
    <t>02/16/2024 at 17:19:58 UTC</t>
  </si>
  <si>
    <t>Verathon</t>
  </si>
  <si>
    <t>Helena Laboratories</t>
  </si>
  <si>
    <t>mesh2surface</t>
  </si>
  <si>
    <t>Radformation</t>
  </si>
  <si>
    <t>05/18/2023 at 15:33:32 UTC</t>
  </si>
  <si>
    <t>SUSE</t>
  </si>
  <si>
    <t>frenzs</t>
  </si>
  <si>
    <t>Meta</t>
  </si>
  <si>
    <t>10/29/2024 at 19:18:24 UTC</t>
  </si>
  <si>
    <t>Reactive Extensions</t>
  </si>
  <si>
    <t>02/16/2024 at 17:20:02 UTC</t>
  </si>
  <si>
    <t>Siemens Medical Solutions USA</t>
  </si>
  <si>
    <t>03/20/2024 at 02:44:57 UTC</t>
  </si>
  <si>
    <t>10/12/2023 at 19:34:47 UTC</t>
  </si>
  <si>
    <t>10/19/2023 at 16:29:32 UTC</t>
  </si>
  <si>
    <t>Gravis, Inc.</t>
  </si>
  <si>
    <t>06/21/2024 at 02:48:49 UTC</t>
  </si>
  <si>
    <t>Gravic, Inc.</t>
  </si>
  <si>
    <t>06/03/2024 at 19:06:02 UTC</t>
  </si>
  <si>
    <t>09/26/2024 at 17:51:19 UTC</t>
  </si>
  <si>
    <t>Reprise</t>
  </si>
  <si>
    <t>10/14/2024 at 01:20:06 UTC</t>
  </si>
  <si>
    <t>Vanderbilt University</t>
  </si>
  <si>
    <t>01/30/2024 at 00:10:01 UTC</t>
  </si>
  <si>
    <t>ResMed</t>
  </si>
  <si>
    <t>11/25/2024 at 18:03:02 UTC</t>
  </si>
  <si>
    <t>PureWeb</t>
  </si>
  <si>
    <t>Respondus, Inc.</t>
  </si>
  <si>
    <t>03/01/2024 at 02:18:28 UTC</t>
  </si>
  <si>
    <t>MD Clarity</t>
  </si>
  <si>
    <t>12/19/2024 at 15:06:52 UTC</t>
  </si>
  <si>
    <t>RFCode</t>
  </si>
  <si>
    <t>03/07/2024 at 02:31:55 UTC</t>
  </si>
  <si>
    <t>InLogic</t>
  </si>
  <si>
    <t>01/18/2024 at 02:51:48 UTC</t>
  </si>
  <si>
    <t>Richard Heyes</t>
  </si>
  <si>
    <t>09/28/2022 at 01:40:52 UTC</t>
  </si>
  <si>
    <t>Orion Health</t>
  </si>
  <si>
    <t>10/13/2022 at 21:20:21 UTC</t>
  </si>
  <si>
    <t>Creation Engine</t>
  </si>
  <si>
    <t>11/08/2024 at 02:03:28 UTC</t>
  </si>
  <si>
    <t>12/26/2024 at 22:35:52 UTC</t>
  </si>
  <si>
    <t>RightITnow</t>
  </si>
  <si>
    <t>01/18/2024 at 02:52:12 UTC</t>
  </si>
  <si>
    <t>VOSPV LLC</t>
  </si>
  <si>
    <t>10/23/2023 at 16:07:52 UTC</t>
  </si>
  <si>
    <t>11/29/2024 at 20:47:27 UTC</t>
  </si>
  <si>
    <t>Roche</t>
  </si>
  <si>
    <t>10/28/2023 at 03:30:55 UTC</t>
  </si>
  <si>
    <t>Universal Logic</t>
  </si>
  <si>
    <t>09/29/2023 at 17:30:40 UTC</t>
  </si>
  <si>
    <t>Rocky Mountain Cancer Data Systems</t>
  </si>
  <si>
    <t>10/25/2024 at 15:13:44 UTC</t>
  </si>
  <si>
    <t>12/02/2024 at 22:22:18 UTC</t>
  </si>
  <si>
    <t>Rosetta Stone Inc.</t>
  </si>
  <si>
    <t>Optical Lab Software Solutions Inc.</t>
  </si>
  <si>
    <t>09/20/2022 at 17:58:36 UTC</t>
  </si>
  <si>
    <t>Thales Group</t>
  </si>
  <si>
    <t>05/06/2024 at 17:36:23 UTC</t>
  </si>
  <si>
    <t>Salient Systems</t>
  </si>
  <si>
    <t>10/28/2023 at 03:30:57 UTC</t>
  </si>
  <si>
    <t>02/22/2024 at 03:38:34 UTC</t>
  </si>
  <si>
    <t>Eric Woodruff</t>
  </si>
  <si>
    <t>06/21/2024 at 02:48:51 UTC</t>
  </si>
  <si>
    <t>Eitan Medical</t>
  </si>
  <si>
    <t>Xytech</t>
  </si>
  <si>
    <t>ScienceLogic</t>
  </si>
  <si>
    <t>08/15/2024 at 17:13:04 UTC</t>
  </si>
  <si>
    <t>Security Compass</t>
  </si>
  <si>
    <t>11/29/2023 at 14:39:02 UTC</t>
  </si>
  <si>
    <t>VanDyke Software</t>
  </si>
  <si>
    <t>Eberhard Beilharz</t>
  </si>
  <si>
    <t>12/06/2022 at 02:46:57 UTC</t>
  </si>
  <si>
    <t>09/16/2024 at 14:58:51 UTC</t>
  </si>
  <si>
    <t>Bioseb</t>
  </si>
  <si>
    <t>02/15/2024 at 20:11:09 UTC</t>
  </si>
  <si>
    <t>09/21/2022 at 02:04:12 UTC</t>
  </si>
  <si>
    <t>Trillium Technology, Inc.</t>
  </si>
  <si>
    <t>09/21/2022 at 02:03:54 UTC</t>
  </si>
  <si>
    <t>Dentsply Sirona</t>
  </si>
  <si>
    <t>10/30/2024 at 15:24:51 UTC</t>
  </si>
  <si>
    <t>Inpixon</t>
  </si>
  <si>
    <t>02/14/2023 at 03:11:04 UTC</t>
  </si>
  <si>
    <t>SimpleNLP</t>
  </si>
  <si>
    <t>05/08/2024 at 13:47:59 UTC</t>
  </si>
  <si>
    <t>Automattic, Inc.</t>
  </si>
  <si>
    <t>01/30/2024 at 01:11:24 UTC</t>
  </si>
  <si>
    <t>Singlewire Software</t>
  </si>
  <si>
    <t>09/23/2024 at 17:08:28 UTC</t>
  </si>
  <si>
    <t>Liebert/Vertiv SiteScan Services</t>
  </si>
  <si>
    <t>Trimble</t>
  </si>
  <si>
    <t>08/27/2024 at 02:03:23 UTC</t>
  </si>
  <si>
    <t>12/12/2022 at 16:50:55 UTC</t>
  </si>
  <si>
    <t>Skyhigh Security</t>
  </si>
  <si>
    <t>Slack Technologies, Inc</t>
  </si>
  <si>
    <t>01/18/2024 at 02:53:08 UTC</t>
  </si>
  <si>
    <t>Slate</t>
  </si>
  <si>
    <t>10/25/2024 at 15:59:12 UTC</t>
  </si>
  <si>
    <t>Slido</t>
  </si>
  <si>
    <t>GN Resound</t>
  </si>
  <si>
    <t>IC Realtime, LLC.</t>
  </si>
  <si>
    <t>SMART Technologies</t>
  </si>
  <si>
    <t>09/27/2024 at 16:28:37 UTC</t>
  </si>
  <si>
    <t>ThinkSign Inc.</t>
  </si>
  <si>
    <t>10/04/2024 at 20:50:56 UTC</t>
  </si>
  <si>
    <t>11/03/2023 at 03:22:49 UTC</t>
  </si>
  <si>
    <t>Smart Communications</t>
  </si>
  <si>
    <t>SmartSync Software</t>
  </si>
  <si>
    <t>10/31/2024 at 16:35:39 UTC</t>
  </si>
  <si>
    <t>Smile Digital Health</t>
  </si>
  <si>
    <t>10/26/2023 at 16:23:54 UTC</t>
  </si>
  <si>
    <t>Snap Surveys</t>
  </si>
  <si>
    <t>10/28/2023 at 03:30:58 UTC</t>
  </si>
  <si>
    <t>SnapComms</t>
  </si>
  <si>
    <t>03/27/2024 at 01:49:25 UTC</t>
  </si>
  <si>
    <t>InterSect Alliance</t>
  </si>
  <si>
    <t>02/22/2023 at 19:05:55 UTC</t>
  </si>
  <si>
    <t>Grokability</t>
  </si>
  <si>
    <t>04/11/2024 at 15:53:29 UTC</t>
  </si>
  <si>
    <t>SoftTech Health</t>
  </si>
  <si>
    <t>12/21/2023 at 21:23:25 UTC</t>
  </si>
  <si>
    <t>Solar Tech</t>
  </si>
  <si>
    <t>06/06/2024 at 16:17:46 UTC</t>
  </si>
  <si>
    <t>02/15/2024 at 23:04:02 UTC</t>
  </si>
  <si>
    <t>02/15/2024 at 23:04:14 UTC</t>
  </si>
  <si>
    <t>02/15/2024 at 20:10:58 UTC</t>
  </si>
  <si>
    <t>02/15/2024 at 23:04:07 UTC</t>
  </si>
  <si>
    <t>02/14/2024 at 03:26:28 UTC</t>
  </si>
  <si>
    <t>02/15/2024 at 20:10:59 UTC</t>
  </si>
  <si>
    <t>07/12/2024 at 02:55:58 UTC</t>
  </si>
  <si>
    <t>02/15/2024 at 23:04:32 UTC</t>
  </si>
  <si>
    <t>02/16/2024 at 17:19:41 UTC</t>
  </si>
  <si>
    <t>02/14/2024 at 03:26:25 UTC</t>
  </si>
  <si>
    <t>02/15/2024 at 20:10:56 UTC</t>
  </si>
  <si>
    <t>02/15/2024 at 20:11:01 UTC</t>
  </si>
  <si>
    <t>09/09/2024 at 15:24:24 UTC</t>
  </si>
  <si>
    <t>Dassault Systems</t>
  </si>
  <si>
    <t>12/13/2024 at 19:36:32 UTC</t>
  </si>
  <si>
    <t>Mersive Technologies, Inc</t>
  </si>
  <si>
    <t>12/20/2023 at 19:17:36 UTC</t>
  </si>
  <si>
    <t>Somnoware</t>
  </si>
  <si>
    <t>Crystal Clear Technologies</t>
  </si>
  <si>
    <t>SonoSim</t>
  </si>
  <si>
    <t>Sorenson Communications</t>
  </si>
  <si>
    <t>PowerMapper</t>
  </si>
  <si>
    <t>04/04/2024 at 03:11:08 UTC</t>
  </si>
  <si>
    <t>SOTI</t>
  </si>
  <si>
    <t>12/01/2023 at 14:56:41 UTC</t>
  </si>
  <si>
    <t>Sparx Systems</t>
  </si>
  <si>
    <t>01/25/2024 at 01:33:19 UTC</t>
  </si>
  <si>
    <t>Spee-Dee Delivery</t>
  </si>
  <si>
    <t>01/03/2024 at 04:39:46 UTC</t>
  </si>
  <si>
    <t>Splunk</t>
  </si>
  <si>
    <t>10/14/2024 at 01:20:07 UTC</t>
  </si>
  <si>
    <t>SQLite</t>
  </si>
  <si>
    <t>SGRQ</t>
  </si>
  <si>
    <t>04/16/2024 at 15:23:35 UTC</t>
  </si>
  <si>
    <t>Stamps.com</t>
  </si>
  <si>
    <t>05/14/2024 at 21:56:38 UTC</t>
  </si>
  <si>
    <t>04/16/2024 at 15:23:36 UTC</t>
  </si>
  <si>
    <t>01/18/2024 at 17:17:22 UTC</t>
  </si>
  <si>
    <t>Stellar</t>
  </si>
  <si>
    <t>10/27/2023 at 17:43:42 UTC</t>
  </si>
  <si>
    <t>02/08/2024 at 15:42:04 UTC</t>
  </si>
  <si>
    <t>Crucial Learning</t>
  </si>
  <si>
    <t>12/10/2024 at 18:08:27 UTC</t>
  </si>
  <si>
    <t>02/16/2024 at 17:20:04 UTC</t>
  </si>
  <si>
    <t>12/13/2024 at 19:36:20 UTC</t>
  </si>
  <si>
    <t>Visual Studio</t>
  </si>
  <si>
    <t>PowerShell Gallery</t>
  </si>
  <si>
    <t>10/25/2023 at 03:34:39 UTC</t>
  </si>
  <si>
    <t>02/02/2024 at 03:13:36 UTC</t>
  </si>
  <si>
    <t>01/25/2024 at 01:33:22 UTC</t>
  </si>
  <si>
    <t>11/26/2022 at 00:53:40 UTC</t>
  </si>
  <si>
    <t>Infiniteblue</t>
  </si>
  <si>
    <t>11/20/2024 at 14:40:16 UTC</t>
  </si>
  <si>
    <t>10/14/2024 at 01:23:26 UTC</t>
  </si>
  <si>
    <t>05/22/2024 at 16:16:03 UTC</t>
  </si>
  <si>
    <t>2BrightSparks</t>
  </si>
  <si>
    <t>XL Consulting GmbH</t>
  </si>
  <si>
    <t>Inisoft</t>
  </si>
  <si>
    <t>11/08/2024 at 02:03:20 UTC</t>
  </si>
  <si>
    <t>AudioCodes</t>
  </si>
  <si>
    <t>Galaxy Control Systems</t>
  </si>
  <si>
    <t>11/15/2024 at 22:28:41 UTC</t>
  </si>
  <si>
    <t>Tandem Diabetes Care, Inc.</t>
  </si>
  <si>
    <t>10/24/2023 at 01:34:32 UTC</t>
  </si>
  <si>
    <t>08/06/2024 at 18:47:23 UTC</t>
  </si>
  <si>
    <t>Kapacity Business Analytics</t>
  </si>
  <si>
    <t>10/19/2023 at 15:49:51 UTC</t>
  </si>
  <si>
    <t>03/11/2024 at 14:14:21 UTC</t>
  </si>
  <si>
    <t>08/27/2024 at 15:27:30 UTC</t>
  </si>
  <si>
    <t>Talend</t>
  </si>
  <si>
    <t>12/19/2024 at 15:06:53 UTC</t>
  </si>
  <si>
    <t>12/21/2023 at 21:23:27 UTC</t>
  </si>
  <si>
    <t>Core Security</t>
  </si>
  <si>
    <t>01/18/2024 at 02:53:21 UTC</t>
  </si>
  <si>
    <t>07/12/2024 at 02:56:01 UTC</t>
  </si>
  <si>
    <t>Wolters Kluwer Financial Services, Inc.</t>
  </si>
  <si>
    <t>12/15/2023 at 19:32:43 UTC</t>
  </si>
  <si>
    <t>TeleMate.Net Software</t>
  </si>
  <si>
    <t>05/09/2023 at 03:56:02 UTC</t>
  </si>
  <si>
    <t>03/31/2023 at 19:03:15 UTC</t>
  </si>
  <si>
    <t>Telestream</t>
  </si>
  <si>
    <t>11/20/2024 at 14:40:30 UTC</t>
  </si>
  <si>
    <t>SmileOnMyMac, LLC dba TextExpander</t>
  </si>
  <si>
    <t>11/08/2024 at 02:03:18 UTC</t>
  </si>
  <si>
    <t>10/04/2024 at 20:50:58 UTC</t>
  </si>
  <si>
    <t>06/25/2024 at 15:28:00 UTC</t>
  </si>
  <si>
    <t>a-tune software AG</t>
  </si>
  <si>
    <t>05/09/2024 at 19:08:24 UTC</t>
  </si>
  <si>
    <t>TiddlyWiki</t>
  </si>
  <si>
    <t>11/17/2023 at 03:57:56 UTC</t>
  </si>
  <si>
    <t>ViewPlus</t>
  </si>
  <si>
    <t>Tiger Connect</t>
  </si>
  <si>
    <t>TCP Software</t>
  </si>
  <si>
    <t>10/29/2024 at 19:18:22 UTC</t>
  </si>
  <si>
    <t>09/25/2024 at 01:50:29 UTC</t>
  </si>
  <si>
    <t>12/01/2023 at 17:53:04 UTC</t>
  </si>
  <si>
    <t>12/19/2024 at 15:06:54 UTC</t>
  </si>
  <si>
    <t>Pneumercator Inc.</t>
  </si>
  <si>
    <t>09/19/2024 at 17:25:29 UTC</t>
  </si>
  <si>
    <t>06/18/2024 at 21:37:14 UTC</t>
  </si>
  <si>
    <t>TomTom</t>
  </si>
  <si>
    <t>11/16/2023 at 17:25:28 UTC</t>
  </si>
  <si>
    <t>11/02/2023 at 18:47:59 UTC</t>
  </si>
  <si>
    <t>DHS Worldwide</t>
  </si>
  <si>
    <t>TouchGraph</t>
  </si>
  <si>
    <t>09/21/2022 at 02:03:43 UTC</t>
  </si>
  <si>
    <t>TrackCore, Inc.</t>
  </si>
  <si>
    <t>12/12/2022 at 16:50:53 UTC</t>
  </si>
  <si>
    <t>Traka</t>
  </si>
  <si>
    <t>02/07/2024 at 18:15:21 UTC</t>
  </si>
  <si>
    <t>American College of Radiology</t>
  </si>
  <si>
    <t>01/11/2024 at 15:55:37 UTC</t>
  </si>
  <si>
    <t>09/21/2022 at 02:04:14 UTC</t>
  </si>
  <si>
    <t>11/20/2024 at 14:40:18 UTC</t>
  </si>
  <si>
    <t>10/07/2024 at 22:22:06 UTC</t>
  </si>
  <si>
    <t>07/19/2024 at 02:54:54 UTC</t>
  </si>
  <si>
    <t>DINO-Software</t>
  </si>
  <si>
    <t>Tricentis</t>
  </si>
  <si>
    <t>11/07/2023 at 17:12:44 UTC</t>
  </si>
  <si>
    <t>03/28/2024 at 15:20:17 UTC</t>
  </si>
  <si>
    <t>11/07/2024 at 19:09:20 UTC</t>
  </si>
  <si>
    <t>07/15/2024 at 19:06:06 UTC</t>
  </si>
  <si>
    <t>12/02/2022 at 03:50:48 UTC</t>
  </si>
  <si>
    <t>Turbot</t>
  </si>
  <si>
    <t>Beckhoff</t>
  </si>
  <si>
    <t>05/09/2024 at 19:08:23 UTC</t>
  </si>
  <si>
    <t>11/25/2024 at 18:01:50 UTC</t>
  </si>
  <si>
    <t>11/28/2023 at 19:44:21 UTC</t>
  </si>
  <si>
    <t>04/11/2024 at 15:53:21 UTC</t>
  </si>
  <si>
    <t>01/20/2023 at 19:57:11 UTC</t>
  </si>
  <si>
    <t>01/18/2024 at 02:53:40 UTC</t>
  </si>
  <si>
    <t>09/14/2023 at 16:16:46 UTC</t>
  </si>
  <si>
    <t>InVita Healthcare Technologies</t>
  </si>
  <si>
    <t>11/06/2023 at 20:27:19 UTC</t>
  </si>
  <si>
    <t>07/24/2024 at 04:25:04 UTC</t>
  </si>
  <si>
    <t>03/26/2024 at 16:11:01 UTC</t>
  </si>
  <si>
    <t>Unity Container</t>
  </si>
  <si>
    <t>09/01/2022 at 20:19:21 UTC</t>
  </si>
  <si>
    <t>Unity Technologies</t>
  </si>
  <si>
    <t>11/26/2024 at 15:08:14 UTC</t>
  </si>
  <si>
    <t>Visual Awareness Research Group, Inc.</t>
  </si>
  <si>
    <t>01/11/2023 at 18:22:33 UTC</t>
  </si>
  <si>
    <t>Pipkins Inc.</t>
  </si>
  <si>
    <t>Variphy</t>
  </si>
  <si>
    <t>Medical Imaging Applications LLC</t>
  </si>
  <si>
    <t>07/19/2024 at 16:33:54 UTC</t>
  </si>
  <si>
    <t>06/18/2024 at 21:37:20 UTC</t>
  </si>
  <si>
    <t>Vecna Technologies, Inc</t>
  </si>
  <si>
    <t>01/11/2024 at 17:00:48 UTC</t>
  </si>
  <si>
    <t>11/02/2023 at 16:16:00 UTC</t>
  </si>
  <si>
    <t>Veeam Software</t>
  </si>
  <si>
    <t>12/19/2024 at 15:06:55 UTC</t>
  </si>
  <si>
    <t>Identiv</t>
  </si>
  <si>
    <t>10/04/2024 at 20:50:59 UTC</t>
  </si>
  <si>
    <t>Sysmex</t>
  </si>
  <si>
    <t>05/30/2024 at 02:59:19 UTC</t>
  </si>
  <si>
    <t>V5 Systems</t>
  </si>
  <si>
    <t>05/10/2023 at 14:11:54 UTC</t>
  </si>
  <si>
    <t>VeriFone, Inc</t>
  </si>
  <si>
    <t>03/13/2023 at 16:48:01 UTC</t>
  </si>
  <si>
    <t>12/28/2023 at 20:12:17 UTC</t>
  </si>
  <si>
    <t>02/07/2024 at 18:15:23 UTC</t>
  </si>
  <si>
    <t>Vertiv</t>
  </si>
  <si>
    <t>07/01/2024 at 19:39:27 UTC</t>
  </si>
  <si>
    <t>Vicon</t>
  </si>
  <si>
    <t>11/22/2023 at 14:50:50 UTC</t>
  </si>
  <si>
    <t>VictoriaMetrics</t>
  </si>
  <si>
    <t>03/13/2024 at 17:25:05 UTC</t>
  </si>
  <si>
    <t>vidyo</t>
  </si>
  <si>
    <t>02/22/2023 at 19:05:57 UTC</t>
  </si>
  <si>
    <t>Vaisala</t>
  </si>
  <si>
    <t>01/25/2024 at 01:34:46 UTC</t>
  </si>
  <si>
    <t>Visioneer</t>
  </si>
  <si>
    <t>07/19/2024 at 16:33:50 UTC</t>
  </si>
  <si>
    <t>07/15/2024 at 19:06:07 UTC</t>
  </si>
  <si>
    <t>DSS</t>
  </si>
  <si>
    <t>Acuity Brands Lighting Inc.</t>
  </si>
  <si>
    <t>Zeiss</t>
  </si>
  <si>
    <t>ViTel Net</t>
  </si>
  <si>
    <t>VLogic</t>
  </si>
  <si>
    <t>11/08/2024 at 02:03:17 UTC</t>
  </si>
  <si>
    <t>01/09/2024 at 23:55:43 UTC</t>
  </si>
  <si>
    <t>04/19/2024 at 03:49:21 UTC</t>
  </si>
  <si>
    <t>VoiceTeach LLC</t>
  </si>
  <si>
    <t>06/18/2024 at 16:24:57 UTC</t>
  </si>
  <si>
    <t>03/30/2023 at 17:10:02 UTC</t>
  </si>
  <si>
    <t>Volk Optical</t>
  </si>
  <si>
    <t>06/18/2024 at 21:37:22 UTC</t>
  </si>
  <si>
    <t>Vonage</t>
  </si>
  <si>
    <t>11/29/2024 at 20:47:34 UTC</t>
  </si>
  <si>
    <t>Levi, Ray &amp; Shoup, Inc. (LRS)</t>
  </si>
  <si>
    <t>Vue</t>
  </si>
  <si>
    <t>Vyopta</t>
  </si>
  <si>
    <t>The Paciello Group</t>
  </si>
  <si>
    <t>Juvare</t>
  </si>
  <si>
    <t>Automated Logic</t>
  </si>
  <si>
    <t>Webpack</t>
  </si>
  <si>
    <t>02/24/2023 at 03:36:13 UTC</t>
  </si>
  <si>
    <t>Ready Computing</t>
  </si>
  <si>
    <t>12/12/2023 at 13:01:49 UTC</t>
  </si>
  <si>
    <t>Wellspring Worldwide</t>
  </si>
  <si>
    <t>Westat</t>
  </si>
  <si>
    <t>10/02/2024 at 21:47:34 UTC</t>
  </si>
  <si>
    <t>Wild Divine</t>
  </si>
  <si>
    <t>01/05/2023 at 01:51:03 UTC</t>
  </si>
  <si>
    <t>Win-911</t>
  </si>
  <si>
    <t>12/13/2024 at 19:36:19 UTC</t>
  </si>
  <si>
    <t>01/11/2024 at 03:03:45 UTC</t>
  </si>
  <si>
    <t>WHO</t>
  </si>
  <si>
    <t>Wowza Media Systems, LLC</t>
  </si>
  <si>
    <t>12/07/2022 at 20:44:56 UTC</t>
  </si>
  <si>
    <t>Tilman Hausherr</t>
  </si>
  <si>
    <t>01/30/2024 at 01:11:42 UTC</t>
  </si>
  <si>
    <t>11/17/2022 at 17:08:13 UTC</t>
  </si>
  <si>
    <t>Neuroinformatics Research Group (NRG)</t>
  </si>
  <si>
    <t>10/25/2024 at 15:59:11 UTC</t>
  </si>
  <si>
    <t>06/03/2024 at 19:06:05 UTC</t>
  </si>
  <si>
    <t>XPLG</t>
  </si>
  <si>
    <t>06/03/2024 at 19:06:06 UTC</t>
  </si>
  <si>
    <t>11/30/2022 at 02:56:24 UTC</t>
  </si>
  <si>
    <t>Yarn</t>
  </si>
  <si>
    <t>YAF.NET</t>
  </si>
  <si>
    <t>03/20/2024 at 02:23:26 UTC</t>
  </si>
  <si>
    <t>11/27/2024 at 00:44:27 UTC</t>
  </si>
  <si>
    <t>Zebra</t>
  </si>
  <si>
    <t>01/25/2024 at 01:35:28 UTC</t>
  </si>
  <si>
    <t>ZETO Inc</t>
  </si>
  <si>
    <t>07/29/2024 at 14:48:41 UTC</t>
  </si>
  <si>
    <t>ZKTeco</t>
  </si>
  <si>
    <t>01/30/2024 at 00:16:32 UTC</t>
  </si>
  <si>
    <t>Corporation for Digital Scholarship</t>
  </si>
  <si>
    <t>10/31/2024 at 16:35:33 UTC</t>
  </si>
  <si>
    <t>Micjahn- Michael Jahn</t>
  </si>
  <si>
    <t>10/30/2024 at 15:24:59 UTC</t>
  </si>
  <si>
    <t>07/07/2023 at 16:18:27 UTC</t>
  </si>
  <si>
    <t>AutoRabit</t>
  </si>
  <si>
    <t>07/19/2024 at 16:33:59 UTC</t>
  </si>
  <si>
    <t>N/A</t>
  </si>
  <si>
    <t>AutoSPRINK</t>
  </si>
  <si>
    <t>12/30/2021 at 19:48:47 UTC</t>
  </si>
  <si>
    <t>Evoluent</t>
  </si>
  <si>
    <t>10/14/2024 at 01:23:15 UTC</t>
  </si>
  <si>
    <t>10/13/2023 at 18:32:51 UTC</t>
  </si>
  <si>
    <t>07/19/2024 at 02:54:51 UTC</t>
  </si>
  <si>
    <t>10/29/2024 at 19:18:19 UTC</t>
  </si>
  <si>
    <t>05/09/2024 at 19:08:27 UTC</t>
  </si>
  <si>
    <t>Podman</t>
  </si>
  <si>
    <t>05/30/2024 at 02:59:20 UTC</t>
  </si>
</sst>
</file>

<file path=xl/styles.xml><?xml version="1.0" encoding="utf-8"?>
<styleSheet xmlns="http://schemas.openxmlformats.org/spreadsheetml/2006/main">
  <numFmts count="1">
    <numFmt numFmtId="164" formatCode="mm/dd/yyyy h:mm AM/PM"/>
  </numFmts>
  <fonts count="4">
    <font>
      <sz val="11"/>
      <name val="Calibri"/>
    </font>
    <font>
      <b/>
      <sz val="11"/>
      <color rgb="FF000000" tint="0"/>
      <name val="Calibri"/>
    </font>
    <font>
      <sz val="11"/>
      <color rgb="FF4A452A" tint="0"/>
      <name val="Calibri"/>
    </font>
    <font>
      <u/>
      <sz val="11"/>
      <color rgb="FF0000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BBFFF" tint="0"/>
      </patternFill>
    </fill>
    <fill>
      <patternFill patternType="solid">
        <fgColor rgb="FFE4E4E4" tint="0"/>
      </patternFill>
    </fill>
  </fills>
  <borders count="5">
    <border>
      <left/>
      <right/>
      <top/>
      <bottom/>
      <diagonal/>
    </border>
    <border>
      <left/>
      <right/>
      <top style="thin">
        <color rgb="FF999999" tint="0"/>
      </top>
      <bottom style="thin">
        <color rgb="FF999999" tint="0"/>
      </bottom>
      <diagonal/>
    </border>
    <border>
      <left style="thin">
        <color rgb="FF999999" tint="0"/>
      </left>
      <right/>
      <top style="thin">
        <color rgb="FF999999" tint="0"/>
      </top>
      <bottom style="thin">
        <color rgb="FF999999" tint="0"/>
      </bottom>
      <diagonal/>
    </border>
    <border>
      <left/>
      <right style="thin">
        <color rgb="FF999999" tint="0"/>
      </right>
      <top style="thin">
        <color rgb="FF999999" tint="0"/>
      </top>
      <bottom style="thin">
        <color rgb="FF999999" tint="0"/>
      </bottom>
      <diagonal/>
    </border>
    <border>
      <left style="thin">
        <color rgb="FFD9D9D9" tint="0"/>
      </left>
      <right style="thin">
        <color rgb="FFD9D9D9" tint="0"/>
      </right>
      <top style="thin">
        <color rgb="FFD9D9D9" tint="0"/>
      </top>
      <bottom style="thin">
        <color rgb="FFD9D9D9" tint="0"/>
      </bottom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fillId="2" applyFill="1" borderId="1" applyBorder="1" xfId="0">
      <alignment horizontal="center"/>
    </xf>
    <xf numFmtId="0" applyNumberFormat="1" fontId="0" applyFont="1" xfId="0">
      <alignment horizontal="left" wrapText="1"/>
    </xf>
    <xf numFmtId="0" applyNumberFormat="1" fontId="1" applyFont="1" fillId="2" applyFill="1" borderId="2" applyBorder="1" xfId="0">
      <alignment horizontal="left" wrapText="1"/>
    </xf>
    <xf numFmtId="0" applyNumberFormat="1" fontId="2" applyFont="1" fillId="3" applyFill="1" borderId="4" applyBorder="1" xfId="0">
      <alignment horizontal="left" wrapText="1"/>
    </xf>
    <xf numFmtId="0" applyNumberFormat="1" fontId="3" applyFont="1" fillId="3" applyFill="1" borderId="4" applyBorder="1" xfId="0">
      <alignment horizontal="left" wrapText="1"/>
    </xf>
    <xf numFmtId="0" applyNumberFormat="1" fontId="1" applyFont="1" fillId="2" applyFill="1" borderId="1" applyBorder="1" xfId="0">
      <alignment horizontal="left" wrapText="1"/>
    </xf>
    <xf numFmtId="0" applyNumberFormat="1" fontId="0" applyFont="1" xfId="0">
      <alignment horizontal="center"/>
    </xf>
    <xf numFmtId="0" applyNumberFormat="1" fontId="0" applyFont="1" xfId="0">
      <alignment horizontal="center" wrapText="1"/>
    </xf>
    <xf numFmtId="0" applyNumberFormat="1" fontId="2" applyFont="1" fillId="3" applyFill="1" borderId="4" applyBorder="1" xfId="0">
      <alignment horizontal="center"/>
    </xf>
    <xf numFmtId="164" applyNumberFormat="1" fontId="1" applyFont="1" fillId="2" applyFill="1" borderId="3" applyBorder="1" xfId="0">
      <alignment horizontal="center" wrapText="1"/>
    </xf>
    <xf numFmtId="164" applyNumberFormat="1" fontId="0" applyFont="1" xfId="0">
      <alignment horizontal="center" wrapText="1"/>
    </xf>
    <xf numFmtId="164" applyNumberFormat="1" fontId="2" applyFont="1" fillId="3" applyFill="1" borderId="4" applyBorder="1" xfId="0">
      <alignment horizont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033"/>
  <sheetViews>
    <sheetView workbookViewId="0"/>
  </sheetViews>
  <sheetFormatPr defaultRowHeight="15"/>
  <cols>
    <col min="1" max="1" width="60" customWidth="1" style="2"/>
    <col min="2" max="2" width="40" customWidth="1" style="2"/>
    <col min="3" max="3" width="20" customWidth="1" style="7"/>
    <col min="4" max="4" width="20" customWidth="1" style="11"/>
  </cols>
  <sheetData>
    <row r="1">
      <c r="A1" s="2" t="s">
        <v>0</v>
      </c>
      <c r="B1" s="2" t="s">
        <v>0</v>
      </c>
      <c r="C1" s="8" t="s">
        <v>0</v>
      </c>
      <c r="D1" s="11" t="s">
        <v>0</v>
      </c>
    </row>
    <row r="2">
      <c r="A2" s="3" t="s">
        <v>1</v>
      </c>
      <c r="B2" s="6" t="s">
        <v>2</v>
      </c>
      <c r="C2" s="1" t="s">
        <v>3</v>
      </c>
      <c r="D2" s="10" t="s">
        <v>4</v>
      </c>
    </row>
    <row r="3">
      <c r="A3" s="5">
        <f>HYPERLINK("https://www.oit.va.gov/Services/TRM/ToolPage.aspx?tid=5020^","Microsoft Structured Query Language (SQL) Server")</f>
      </c>
      <c r="B3" s="4" t="s">
        <v>5</v>
      </c>
      <c r="C3" s="9" t="s">
        <v>6</v>
      </c>
      <c r="D3" s="12" t="s">
        <v>7</v>
      </c>
    </row>
    <row r="4">
      <c r="A4" s="5">
        <f>HYPERLINK("https://www.oit.va.gov/Services/TRM/ToolPage.aspx?tid=5747^","Microsoft Visio Viewer")</f>
      </c>
      <c r="B4" s="4" t="s">
        <v>5</v>
      </c>
      <c r="C4" s="9" t="s">
        <v>6</v>
      </c>
      <c r="D4" s="12" t="s">
        <v>8</v>
      </c>
    </row>
    <row r="5">
      <c r="A5" s="5">
        <f>HYPERLINK("https://www.oit.va.gov/Services/TRM/ToolPage.aspx?tid=12854^","Microsoft Azure Tools for Microsoft Visual Studio")</f>
      </c>
      <c r="B5" s="4" t="s">
        <v>5</v>
      </c>
      <c r="C5" s="9" t="s">
        <v>6</v>
      </c>
      <c r="D5" s="12" t="s">
        <v>9</v>
      </c>
    </row>
    <row r="6">
      <c r="A6" s="5">
        <f>HYPERLINK("https://www.oit.va.gov/Services/TRM/ToolPage.aspx?tid=6271^","Microsoft Dynamics 365")</f>
      </c>
      <c r="B6" s="4" t="s">
        <v>5</v>
      </c>
      <c r="C6" s="9" t="s">
        <v>6</v>
      </c>
      <c r="D6" s="12" t="s">
        <v>10</v>
      </c>
    </row>
    <row r="7">
      <c r="A7" s="5">
        <f>HYPERLINK("https://www.oit.va.gov/Services/TRM/ToolPage.aspx?tid=5684^","Microsoft Outlook")</f>
      </c>
      <c r="B7" s="4" t="s">
        <v>5</v>
      </c>
      <c r="C7" s="9" t="s">
        <v>6</v>
      </c>
      <c r="D7" s="12" t="s">
        <v>11</v>
      </c>
    </row>
    <row r="8">
      <c r="A8" s="5">
        <f>HYPERLINK("https://www.oit.va.gov/Services/TRM/ToolPage.aspx?tid=12808^","Microsoft Graph")</f>
      </c>
      <c r="B8" s="4" t="s">
        <v>5</v>
      </c>
      <c r="C8" s="9" t="s">
        <v>6</v>
      </c>
      <c r="D8" s="12" t="s">
        <v>12</v>
      </c>
    </row>
    <row r="9">
      <c r="A9" s="5">
        <f>HYPERLINK("https://www.oit.va.gov/Services/TRM/ToolPage.aspx?tid=5783^","Microsoft Word")</f>
      </c>
      <c r="B9" s="4" t="s">
        <v>5</v>
      </c>
      <c r="C9" s="9" t="s">
        <v>6</v>
      </c>
      <c r="D9" s="12" t="s">
        <v>13</v>
      </c>
    </row>
    <row r="10">
      <c r="A10" s="5">
        <f>HYPERLINK("https://www.oit.va.gov/Services/TRM/ToolPage.aspx?tid=9740^","Structured Query Language (SQL) Server Integration Services (SSIS) Integration Toolkit for Microsoft Dynamics 365")</f>
      </c>
      <c r="B10" s="4" t="s">
        <v>14</v>
      </c>
      <c r="C10" s="9" t="s">
        <v>6</v>
      </c>
      <c r="D10" s="12" t="s">
        <v>15</v>
      </c>
    </row>
    <row r="11">
      <c r="A11" s="5">
        <f>HYPERLINK("https://www.oit.va.gov/Services/TRM/ToolPage.aspx?tid=5629^","Microsoft InfoPath")</f>
      </c>
      <c r="B11" s="4" t="s">
        <v>5</v>
      </c>
      <c r="C11" s="9" t="s">
        <v>6</v>
      </c>
      <c r="D11" s="12" t="s">
        <v>16</v>
      </c>
    </row>
    <row r="12">
      <c r="A12" s="5">
        <f>HYPERLINK("https://www.oit.va.gov/Services/TRM/ToolPage.aspx?tid=5670^","Microsoft Visual Studio")</f>
      </c>
      <c r="B12" s="4" t="s">
        <v>5</v>
      </c>
      <c r="C12" s="9" t="s">
        <v>6</v>
      </c>
      <c r="D12" s="12" t="s">
        <v>17</v>
      </c>
    </row>
    <row r="13">
      <c r="A13" s="5">
        <f>HYPERLINK("https://www.oit.va.gov/Services/TRM/ToolPage.aspx?tid=6571^","Microsoft Entity Framework (EF)")</f>
      </c>
      <c r="B13" s="4" t="s">
        <v>5</v>
      </c>
      <c r="C13" s="9" t="s">
        <v>6</v>
      </c>
      <c r="D13" s="12" t="s">
        <v>18</v>
      </c>
    </row>
    <row r="14">
      <c r="A14" s="5">
        <f>HYPERLINK("https://www.oit.va.gov/Services/TRM/ToolPage.aspx?tid=5529^","Microsoft Access")</f>
      </c>
      <c r="B14" s="4" t="s">
        <v>5</v>
      </c>
      <c r="C14" s="9" t="s">
        <v>6</v>
      </c>
      <c r="D14" s="12" t="s">
        <v>19</v>
      </c>
    </row>
    <row r="15">
      <c r="A15" s="5">
        <f>HYPERLINK("https://www.oit.va.gov/Services/TRM/ToolPage.aspx?tid=16384^","Microsoft Edge.")</f>
      </c>
      <c r="B15" s="4" t="s">
        <v>5</v>
      </c>
      <c r="C15" s="9" t="s">
        <v>6</v>
      </c>
      <c r="D15" s="12" t="s">
        <v>20</v>
      </c>
    </row>
    <row r="16">
      <c r="A16" s="5">
        <f>HYPERLINK("https://www.oit.va.gov/Services/TRM/ToolPage.aspx?tid=5612^","Microsoft Excel")</f>
      </c>
      <c r="B16" s="4" t="s">
        <v>5</v>
      </c>
      <c r="C16" s="9" t="s">
        <v>6</v>
      </c>
      <c r="D16" s="12" t="s">
        <v>21</v>
      </c>
    </row>
    <row r="17">
      <c r="A17" s="5">
        <f>HYPERLINK("https://www.oit.va.gov/Services/TRM/ToolPage.aspx?tid=5682^","Microsoft OneNote")</f>
      </c>
      <c r="B17" s="4" t="s">
        <v>5</v>
      </c>
      <c r="C17" s="9" t="s">
        <v>6</v>
      </c>
      <c r="D17" s="12" t="s">
        <v>22</v>
      </c>
    </row>
    <row r="18">
      <c r="A18" s="5">
        <f>HYPERLINK("https://www.oit.va.gov/Services/TRM/ToolPage.aspx?tid=10119^","Microsoft Open Database Connectivity (ODBC) Driver for SQL Server")</f>
      </c>
      <c r="B18" s="4" t="s">
        <v>5</v>
      </c>
      <c r="C18" s="9" t="s">
        <v>6</v>
      </c>
      <c r="D18" s="12" t="s">
        <v>23</v>
      </c>
    </row>
    <row r="19">
      <c r="A19" s="5">
        <f>HYPERLINK("https://www.oit.va.gov/Services/TRM/ToolPage.aspx?tid=9713^","Microsoft Power Business Intelligence (BI)")</f>
      </c>
      <c r="B19" s="4" t="s">
        <v>5</v>
      </c>
      <c r="C19" s="9" t="s">
        <v>6</v>
      </c>
      <c r="D19" s="12" t="s">
        <v>24</v>
      </c>
    </row>
    <row r="20">
      <c r="A20" s="5">
        <f>HYPERLINK("https://www.oit.va.gov/Services/TRM/ToolPage.aspx?tid=14451^","Microsoft Power Business Intelligence (BI) Report Server")</f>
      </c>
      <c r="B20" s="4" t="s">
        <v>5</v>
      </c>
      <c r="C20" s="9" t="s">
        <v>6</v>
      </c>
      <c r="D20" s="12" t="s">
        <v>25</v>
      </c>
    </row>
    <row r="21">
      <c r="A21" s="5">
        <f>HYPERLINK("https://www.oit.va.gov/Services/TRM/ToolPage.aspx?tid=5695^","Microsoft PowerPoint")</f>
      </c>
      <c r="B21" s="4" t="s">
        <v>5</v>
      </c>
      <c r="C21" s="9" t="s">
        <v>6</v>
      </c>
      <c r="D21" s="12" t="s">
        <v>26</v>
      </c>
    </row>
    <row r="22">
      <c r="A22" s="5">
        <f>HYPERLINK("https://www.oit.va.gov/Services/TRM/ToolPage.aspx?tid=9303^","Microsoft Access Database Engine")</f>
      </c>
      <c r="B22" s="4" t="s">
        <v>5</v>
      </c>
      <c r="C22" s="9" t="s">
        <v>6</v>
      </c>
      <c r="D22" s="12" t="s">
        <v>27</v>
      </c>
    </row>
    <row r="23">
      <c r="A23" s="5">
        <f>HYPERLINK("https://www.oit.va.gov/Services/TRM/ToolPage.aspx?tid=15756^","Microsoft Edge WebView2 Runtime")</f>
      </c>
      <c r="B23" s="4" t="s">
        <v>5</v>
      </c>
      <c r="C23" s="9" t="s">
        <v>6</v>
      </c>
      <c r="D23" s="12" t="s">
        <v>28</v>
      </c>
    </row>
    <row r="24">
      <c r="A24" s="5">
        <f>HYPERLINK("https://www.oit.va.gov/Services/TRM/ToolPage.aspx?tid=5662^","Microsoft Project")</f>
      </c>
      <c r="B24" s="4" t="s">
        <v>5</v>
      </c>
      <c r="C24" s="9" t="s">
        <v>6</v>
      </c>
      <c r="D24" s="12" t="s">
        <v>29</v>
      </c>
    </row>
    <row r="25">
      <c r="A25" s="5">
        <f>HYPERLINK("https://www.oit.va.gov/Services/TRM/ToolPage.aspx?tid=6403^","Microsoft Report Viewer")</f>
      </c>
      <c r="B25" s="4" t="s">
        <v>5</v>
      </c>
      <c r="C25" s="9" t="s">
        <v>6</v>
      </c>
      <c r="D25" s="12" t="s">
        <v>30</v>
      </c>
    </row>
    <row r="26">
      <c r="A26" s="5">
        <f>HYPERLINK("https://www.oit.va.gov/Services/TRM/ToolPage.aspx?tid=5719^","Microsoft SharePoint Designer")</f>
      </c>
      <c r="B26" s="4" t="s">
        <v>5</v>
      </c>
      <c r="C26" s="9" t="s">
        <v>6</v>
      </c>
      <c r="D26" s="12" t="s">
        <v>31</v>
      </c>
    </row>
    <row r="27">
      <c r="A27" s="5">
        <f>HYPERLINK("https://www.oit.va.gov/Services/TRM/ToolPage.aspx?tid=6527^","Microsoft Endpoint Configuration Manager")</f>
      </c>
      <c r="B27" s="4" t="s">
        <v>5</v>
      </c>
      <c r="C27" s="9" t="s">
        <v>6</v>
      </c>
      <c r="D27" s="12" t="s">
        <v>32</v>
      </c>
    </row>
    <row r="28">
      <c r="A28" s="5">
        <f>HYPERLINK("https://www.oit.va.gov/Services/TRM/ToolPage.aspx?tid=5108^","Microsoft Internet Information Services (IIS)")</f>
      </c>
      <c r="B28" s="4" t="s">
        <v>5</v>
      </c>
      <c r="C28" s="9" t="s">
        <v>6</v>
      </c>
      <c r="D28" s="12" t="s">
        <v>33</v>
      </c>
    </row>
    <row r="29">
      <c r="A29" s="5">
        <f>HYPERLINK("https://www.oit.va.gov/Services/TRM/ToolPage.aspx?tid=8189^","Microsoft System Center Orchestrator")</f>
      </c>
      <c r="B29" s="4" t="s">
        <v>5</v>
      </c>
      <c r="C29" s="9" t="s">
        <v>6</v>
      </c>
      <c r="D29" s="12" t="s">
        <v>34</v>
      </c>
    </row>
    <row r="30">
      <c r="A30" s="5">
        <f>HYPERLINK("https://www.oit.va.gov/Services/TRM/ToolPage.aspx?tid=5663^","Microsoft Publisher")</f>
      </c>
      <c r="B30" s="4" t="s">
        <v>5</v>
      </c>
      <c r="C30" s="9" t="s">
        <v>6</v>
      </c>
      <c r="D30" s="12" t="s">
        <v>35</v>
      </c>
    </row>
    <row r="31">
      <c r="A31" s="5">
        <f>HYPERLINK("https://www.oit.va.gov/Services/TRM/ToolPage.aspx?tid=5746^","Microsoft Visio")</f>
      </c>
      <c r="B31" s="4" t="s">
        <v>5</v>
      </c>
      <c r="C31" s="9" t="s">
        <v>6</v>
      </c>
      <c r="D31" s="12" t="s">
        <v>36</v>
      </c>
    </row>
    <row r="32">
      <c r="A32" s="5">
        <f>HYPERLINK("https://www.oit.va.gov/Services/TRM/ToolPage.aspx?tid=13103^","Microsoft Viva Insights")</f>
      </c>
      <c r="B32" s="4" t="s">
        <v>5</v>
      </c>
      <c r="C32" s="9" t="s">
        <v>6</v>
      </c>
      <c r="D32" s="12" t="s">
        <v>37</v>
      </c>
    </row>
    <row r="33">
      <c r="A33" s="5">
        <f>HYPERLINK("https://www.oit.va.gov/Services/TRM/ToolPage.aspx?tid=35^","Windows Server")</f>
      </c>
      <c r="B33" s="4" t="s">
        <v>5</v>
      </c>
      <c r="C33" s="9" t="s">
        <v>6</v>
      </c>
      <c r="D33" s="12" t="s">
        <v>38</v>
      </c>
    </row>
    <row r="34">
      <c r="A34" s="5">
        <f>HYPERLINK("https://www.oit.va.gov/Services/TRM/ToolPage.aspx?tid=15259^","Microsoft Secure/Multipurpose Internet Mail Extensions (S/MIME) Edge Addon-on")</f>
      </c>
      <c r="B34" s="4" t="s">
        <v>5</v>
      </c>
      <c r="C34" s="9" t="s">
        <v>6</v>
      </c>
      <c r="D34" s="12" t="s">
        <v>39</v>
      </c>
    </row>
    <row r="35">
      <c r="A35" s="5">
        <f>HYPERLINK("https://www.oit.va.gov/Services/TRM/ToolPage.aspx?tid=8164^","Microsoft System Center Operations Manager (SCOM)")</f>
      </c>
      <c r="B35" s="4" t="s">
        <v>5</v>
      </c>
      <c r="C35" s="9" t="s">
        <v>6</v>
      </c>
      <c r="D35" s="12" t="s">
        <v>40</v>
      </c>
    </row>
    <row r="36">
      <c r="A36" s="5">
        <f>HYPERLINK("https://www.oit.va.gov/Services/TRM/ToolPage.aspx?tid=6473^","Microsoft Visual Basic for Applications (VBA) for Microsoft Office Suite of Products")</f>
      </c>
      <c r="B36" s="4" t="s">
        <v>5</v>
      </c>
      <c r="C36" s="9" t="s">
        <v>6</v>
      </c>
      <c r="D36" s="12" t="s">
        <v>41</v>
      </c>
    </row>
    <row r="37">
      <c r="A37" s="5">
        <f>HYPERLINK("https://www.oit.va.gov/Services/TRM/ToolPage.aspx?tid=5613^","Microsoft Excel Viewer")</f>
      </c>
      <c r="B37" s="4" t="s">
        <v>5</v>
      </c>
      <c r="C37" s="9" t="s">
        <v>6</v>
      </c>
      <c r="D37" s="12" t="s">
        <v>42</v>
      </c>
    </row>
    <row r="38">
      <c r="A38" s="5">
        <f>HYPERLINK("https://www.oit.va.gov/Services/TRM/ToolPage.aspx?tid=15668^","Microsoft PowerApps Desktop Client")</f>
      </c>
      <c r="B38" s="4" t="s">
        <v>5</v>
      </c>
      <c r="C38" s="9" t="s">
        <v>6</v>
      </c>
      <c r="D38" s="12" t="s">
        <v>43</v>
      </c>
    </row>
    <row r="39">
      <c r="A39" s="5">
        <f>HYPERLINK("https://www.oit.va.gov/Services/TRM/ToolPage.aspx?tid=5696^","Microsoft PowerPoint Viewer")</f>
      </c>
      <c r="B39" s="4" t="s">
        <v>5</v>
      </c>
      <c r="C39" s="9" t="s">
        <v>6</v>
      </c>
      <c r="D39" s="12" t="s">
        <v>44</v>
      </c>
    </row>
    <row r="40">
      <c r="A40" s="5">
        <f>HYPERLINK("https://www.oit.va.gov/Services/TRM/ToolPage.aspx?tid=10301^","Microsoft Visual Studio Tools for Applications")</f>
      </c>
      <c r="B40" s="4" t="s">
        <v>5</v>
      </c>
      <c r="C40" s="9" t="s">
        <v>6</v>
      </c>
      <c r="D40" s="12" t="s">
        <v>45</v>
      </c>
    </row>
    <row r="41">
      <c r="A41" s="5">
        <f>HYPERLINK("https://www.oit.va.gov/Services/TRM/ToolPage.aspx?tid=8873^","Microsoft BitLocker Administration and Monitoring (MBAM)")</f>
      </c>
      <c r="B41" s="4" t="s">
        <v>5</v>
      </c>
      <c r="C41" s="9" t="s">
        <v>6</v>
      </c>
      <c r="D41" s="12" t="s">
        <v>46</v>
      </c>
    </row>
    <row r="42">
      <c r="A42" s="5">
        <f>HYPERLINK("https://www.oit.va.gov/Services/TRM/ToolPage.aspx?tid=15744^","Microsoft Identity Manager (MIM)")</f>
      </c>
      <c r="B42" s="4" t="s">
        <v>5</v>
      </c>
      <c r="C42" s="9" t="s">
        <v>6</v>
      </c>
      <c r="D42" s="12" t="s">
        <v>47</v>
      </c>
    </row>
    <row r="43">
      <c r="A43" s="5">
        <f>HYPERLINK("https://www.oit.va.gov/Services/TRM/ToolPage.aspx?tid=5654^","Microsoft .NET Framework")</f>
      </c>
      <c r="B43" s="4" t="s">
        <v>5</v>
      </c>
      <c r="C43" s="9" t="s">
        <v>6</v>
      </c>
      <c r="D43" s="12" t="s">
        <v>48</v>
      </c>
    </row>
    <row r="44">
      <c r="A44" s="5">
        <f>HYPERLINK("https://www.oit.va.gov/Services/TRM/ToolPage.aspx?tid=11296^","Microsoft Azure Active Directory for Windows PowerShell")</f>
      </c>
      <c r="B44" s="4" t="s">
        <v>5</v>
      </c>
      <c r="C44" s="9" t="s">
        <v>6</v>
      </c>
      <c r="D44" s="12" t="s">
        <v>49</v>
      </c>
    </row>
    <row r="45">
      <c r="A45" s="5">
        <f>HYPERLINK("https://www.oit.va.gov/Services/TRM/ToolPage.aspx?tid=9069^","Microsoft Calendar Printing Assistant")</f>
      </c>
      <c r="B45" s="4" t="s">
        <v>5</v>
      </c>
      <c r="C45" s="9" t="s">
        <v>6</v>
      </c>
      <c r="D45" s="12" t="s">
        <v>50</v>
      </c>
    </row>
    <row r="46">
      <c r="A46" s="5">
        <f>HYPERLINK("https://www.oit.va.gov/Services/TRM/ToolPage.aspx?tid=16163^","Microsoft Edge WebDriver")</f>
      </c>
      <c r="B46" s="4" t="s">
        <v>5</v>
      </c>
      <c r="C46" s="9" t="s">
        <v>6</v>
      </c>
      <c r="D46" s="12" t="s">
        <v>51</v>
      </c>
    </row>
    <row r="47">
      <c r="A47" s="5">
        <f>HYPERLINK("https://www.oit.va.gov/Services/TRM/ToolPage.aspx?tid=15431^","Microsoft Power Automate Desktop")</f>
      </c>
      <c r="B47" s="4" t="s">
        <v>5</v>
      </c>
      <c r="C47" s="9" t="s">
        <v>6</v>
      </c>
      <c r="D47" s="12" t="s">
        <v>52</v>
      </c>
    </row>
    <row r="48">
      <c r="A48" s="5">
        <f>HYPERLINK("https://www.oit.va.gov/Services/TRM/ToolPage.aspx?tid=14747^","Microsoft Power Business Intelligence (BI) Report Builder")</f>
      </c>
      <c r="B48" s="4" t="s">
        <v>5</v>
      </c>
      <c r="C48" s="9" t="s">
        <v>6</v>
      </c>
      <c r="D48" s="12" t="s">
        <v>53</v>
      </c>
    </row>
    <row r="49">
      <c r="A49" s="5">
        <f>HYPERLINK("https://www.oit.va.gov/Services/TRM/ToolPage.aspx?tid=5448^","Microsoft SharePoint Server")</f>
      </c>
      <c r="B49" s="4" t="s">
        <v>5</v>
      </c>
      <c r="C49" s="9" t="s">
        <v>6</v>
      </c>
      <c r="D49" s="12" t="s">
        <v>54</v>
      </c>
    </row>
    <row r="50">
      <c r="A50" s="5">
        <f>HYPERLINK("https://www.oit.va.gov/Services/TRM/ToolPage.aspx?tid=9305^","Microsoft Structured Query Language (SQL) Server Data Tools (SSDT) for Visual Studio")</f>
      </c>
      <c r="B50" s="4" t="s">
        <v>5</v>
      </c>
      <c r="C50" s="9" t="s">
        <v>6</v>
      </c>
      <c r="D50" s="12" t="s">
        <v>55</v>
      </c>
    </row>
    <row r="51">
      <c r="A51" s="5">
        <f>HYPERLINK("https://www.oit.va.gov/Services/TRM/ToolPage.aspx?tid=16324^","Microsoft Structured Query Language (SQL) Server Integration Services (SSIS) Feature Pack for Azure")</f>
      </c>
      <c r="B51" s="4" t="s">
        <v>5</v>
      </c>
      <c r="C51" s="9" t="s">
        <v>6</v>
      </c>
      <c r="D51" s="12" t="s">
        <v>56</v>
      </c>
    </row>
    <row r="52">
      <c r="A52" s="5">
        <f>HYPERLINK("https://www.oit.va.gov/Services/TRM/ToolPage.aspx?tid=14196^","Microsoft Teams")</f>
      </c>
      <c r="B52" s="4" t="s">
        <v>5</v>
      </c>
      <c r="C52" s="9" t="s">
        <v>6</v>
      </c>
      <c r="D52" s="12" t="s">
        <v>57</v>
      </c>
    </row>
    <row r="53">
      <c r="A53" s="5">
        <f>HYPERLINK("https://www.oit.va.gov/Services/TRM/ToolPage.aspx?tid=16195^","Microsoft .NET Desktop Runtime")</f>
      </c>
      <c r="B53" s="4" t="s">
        <v>5</v>
      </c>
      <c r="C53" s="9" t="s">
        <v>6</v>
      </c>
      <c r="D53" s="12" t="s">
        <v>58</v>
      </c>
    </row>
    <row r="54">
      <c r="A54" s="5">
        <f>HYPERLINK("https://www.oit.va.gov/Services/TRM/ToolPage.aspx?tid=15425^","Microsoft Azure Information Protection Unified Client")</f>
      </c>
      <c r="B54" s="4" t="s">
        <v>5</v>
      </c>
      <c r="C54" s="9" t="s">
        <v>6</v>
      </c>
      <c r="D54" s="12" t="s">
        <v>59</v>
      </c>
    </row>
    <row r="55">
      <c r="A55" s="5">
        <f>HYPERLINK("https://www.oit.va.gov/Services/TRM/ToolPage.aspx?tid=16050^","Microsoft Defender for Endpoint (MDE) Agent")</f>
      </c>
      <c r="B55" s="4" t="s">
        <v>5</v>
      </c>
      <c r="C55" s="9" t="s">
        <v>6</v>
      </c>
      <c r="D55" s="12" t="s">
        <v>60</v>
      </c>
    </row>
    <row r="56">
      <c r="A56" s="5">
        <f>HYPERLINK("https://www.oit.va.gov/Services/TRM/ToolPage.aspx?tid=5615^","Microsoft FrontPage Hypertext Markup Language (HTML) Tool")</f>
      </c>
      <c r="B56" s="4" t="s">
        <v>5</v>
      </c>
      <c r="C56" s="9" t="s">
        <v>6</v>
      </c>
      <c r="D56" s="12" t="s">
        <v>61</v>
      </c>
    </row>
    <row r="57">
      <c r="A57" s="5">
        <f>HYPERLINK("https://www.oit.va.gov/Services/TRM/ToolPage.aspx?tid=16029^","Microsoft Graph Powershell Software Development Kit (SDK)")</f>
      </c>
      <c r="B57" s="4" t="s">
        <v>5</v>
      </c>
      <c r="C57" s="9" t="s">
        <v>6</v>
      </c>
      <c r="D57" s="12" t="s">
        <v>62</v>
      </c>
    </row>
    <row r="58">
      <c r="A58" s="5">
        <f>HYPERLINK("https://www.oit.va.gov/Services/TRM/ToolPage.aspx?tid=9057^","Microsoft Jet Engine Database")</f>
      </c>
      <c r="B58" s="4" t="s">
        <v>5</v>
      </c>
      <c r="C58" s="9" t="s">
        <v>6</v>
      </c>
      <c r="D58" s="12" t="s">
        <v>63</v>
      </c>
    </row>
    <row r="59">
      <c r="A59" s="5">
        <f>HYPERLINK("https://www.oit.va.gov/Services/TRM/ToolPage.aspx?tid=11712^","Microsoft OneDrive")</f>
      </c>
      <c r="B59" s="4" t="s">
        <v>5</v>
      </c>
      <c r="C59" s="9" t="s">
        <v>6</v>
      </c>
      <c r="D59" s="12" t="s">
        <v>64</v>
      </c>
    </row>
    <row r="60">
      <c r="A60" s="5">
        <f>HYPERLINK("https://www.oit.va.gov/Services/TRM/ToolPage.aspx?tid=11297^","Microsoft Online Services Sign-in Assistant")</f>
      </c>
      <c r="B60" s="4" t="s">
        <v>5</v>
      </c>
      <c r="C60" s="9" t="s">
        <v>6</v>
      </c>
      <c r="D60" s="12" t="s">
        <v>65</v>
      </c>
    </row>
    <row r="61">
      <c r="A61" s="5">
        <f>HYPERLINK("https://www.oit.va.gov/Services/TRM/ToolPage.aspx?tid=7644^","Microsoft Service Bus for Windows Server")</f>
      </c>
      <c r="B61" s="4" t="s">
        <v>5</v>
      </c>
      <c r="C61" s="9" t="s">
        <v>6</v>
      </c>
      <c r="D61" s="12" t="s">
        <v>66</v>
      </c>
    </row>
    <row r="62">
      <c r="A62" s="5">
        <f>HYPERLINK("https://www.oit.va.gov/Services/TRM/ToolPage.aspx?tid=5784^","Microsoft Word Viewer")</f>
      </c>
      <c r="B62" s="4" t="s">
        <v>5</v>
      </c>
      <c r="C62" s="9" t="s">
        <v>6</v>
      </c>
      <c r="D62" s="12" t="s">
        <v>67</v>
      </c>
    </row>
    <row r="63">
      <c r="A63" s="5">
        <f>HYPERLINK("https://www.oit.va.gov/Services/TRM/ToolPage.aspx?tid=10939^","Host Integration Tools for Microsoft (HIT/Microsoft)")</f>
      </c>
      <c r="B63" s="4" t="s">
        <v>68</v>
      </c>
      <c r="C63" s="9" t="s">
        <v>6</v>
      </c>
      <c r="D63" s="12" t="s">
        <v>69</v>
      </c>
    </row>
    <row r="64">
      <c r="A64" s="5">
        <f>HYPERLINK("https://www.oit.va.gov/Services/TRM/ToolPage.aspx?tid=16798^","Bucher + Suter (B + S) Connects for Microsoft Dynamics")</f>
      </c>
      <c r="B64" s="4" t="s">
        <v>70</v>
      </c>
      <c r="C64" s="9" t="s">
        <v>6</v>
      </c>
      <c r="D64" s="12" t="s">
        <v>71</v>
      </c>
    </row>
    <row r="65">
      <c r="A65" s="5">
        <f>HYPERLINK("https://www.oit.va.gov/Services/TRM/ToolPage.aspx?tid=7327^","Microsoft Message Analyzer")</f>
      </c>
      <c r="B65" s="4" t="s">
        <v>5</v>
      </c>
      <c r="C65" s="9" t="s">
        <v>6</v>
      </c>
      <c r="D65" s="12" t="s">
        <v>72</v>
      </c>
    </row>
    <row r="66">
      <c r="A66" s="5">
        <f>HYPERLINK("https://www.oit.va.gov/Services/TRM/ToolPage.aspx?tid=15222^","Microsoft OLE DB Driver for SQL Server (MSOLEDBSQL)")</f>
      </c>
      <c r="B66" s="4" t="s">
        <v>5</v>
      </c>
      <c r="C66" s="9" t="s">
        <v>6</v>
      </c>
      <c r="D66" s="12" t="s">
        <v>73</v>
      </c>
    </row>
    <row r="67">
      <c r="A67" s="5">
        <f>HYPERLINK("https://www.oit.va.gov/Services/TRM/ToolPage.aspx?tid=11491^","Microsoft Report Builder")</f>
      </c>
      <c r="B67" s="4" t="s">
        <v>5</v>
      </c>
      <c r="C67" s="9" t="s">
        <v>6</v>
      </c>
      <c r="D67" s="12" t="s">
        <v>74</v>
      </c>
    </row>
    <row r="68">
      <c r="A68" s="5">
        <f>HYPERLINK("https://www.oit.va.gov/Services/TRM/ToolPage.aspx?tid=13020^","Microsoft Active Accessibility (MSAA) Software Development Kit (SDK)")</f>
      </c>
      <c r="B68" s="4" t="s">
        <v>5</v>
      </c>
      <c r="C68" s="9" t="s">
        <v>6</v>
      </c>
      <c r="D68" s="12" t="s">
        <v>75</v>
      </c>
    </row>
    <row r="69">
      <c r="A69" s="5">
        <f>HYPERLINK("https://www.oit.va.gov/Services/TRM/ToolPage.aspx?tid=11051^","Microsoft Azure PowerShell")</f>
      </c>
      <c r="B69" s="4" t="s">
        <v>5</v>
      </c>
      <c r="C69" s="9" t="s">
        <v>6</v>
      </c>
      <c r="D69" s="12" t="s">
        <v>76</v>
      </c>
    </row>
    <row r="70">
      <c r="A70" s="5">
        <f>HYPERLINK("https://www.oit.va.gov/Services/TRM/ToolPage.aspx?tid=16373^","Microsoft Build of OpenJDK")</f>
      </c>
      <c r="B70" s="4" t="s">
        <v>5</v>
      </c>
      <c r="C70" s="9" t="s">
        <v>6</v>
      </c>
      <c r="D70" s="12" t="s">
        <v>77</v>
      </c>
    </row>
    <row r="71">
      <c r="A71" s="5">
        <f>HYPERLINK("https://www.oit.va.gov/Services/TRM/ToolPage.aspx?tid=10624^","Microsoft Enterprise Library")</f>
      </c>
      <c r="B71" s="4" t="s">
        <v>5</v>
      </c>
      <c r="C71" s="9" t="s">
        <v>6</v>
      </c>
      <c r="D71" s="12" t="s">
        <v>78</v>
      </c>
    </row>
    <row r="72">
      <c r="A72" s="5">
        <f>HYPERLINK("https://www.oit.va.gov/Services/TRM/ToolPage.aspx?tid=9231^","Microsoft R Open")</f>
      </c>
      <c r="B72" s="4" t="s">
        <v>5</v>
      </c>
      <c r="C72" s="9" t="s">
        <v>6</v>
      </c>
      <c r="D72" s="12" t="s">
        <v>79</v>
      </c>
    </row>
    <row r="73">
      <c r="A73" s="5">
        <f>HYPERLINK("https://www.oit.va.gov/Services/TRM/ToolPage.aspx?tid=14692^","Microsoft Reporting Services Projects")</f>
      </c>
      <c r="B73" s="4" t="s">
        <v>5</v>
      </c>
      <c r="C73" s="9" t="s">
        <v>6</v>
      </c>
      <c r="D73" s="12" t="s">
        <v>80</v>
      </c>
    </row>
    <row r="74">
      <c r="A74" s="5">
        <f>HYPERLINK("https://www.oit.va.gov/Services/TRM/ToolPage.aspx?tid=7188^","Microsoft Sync Framework")</f>
      </c>
      <c r="B74" s="4" t="s">
        <v>5</v>
      </c>
      <c r="C74" s="9" t="s">
        <v>6</v>
      </c>
      <c r="D74" s="12" t="s">
        <v>81</v>
      </c>
    </row>
    <row r="75">
      <c r="A75" s="5">
        <f>HYPERLINK("https://www.oit.va.gov/Services/TRM/ToolPage.aspx?tid=6408^","Microsoft SyncToy")</f>
      </c>
      <c r="B75" s="4" t="s">
        <v>5</v>
      </c>
      <c r="C75" s="9" t="s">
        <v>6</v>
      </c>
      <c r="D75" s="12" t="s">
        <v>82</v>
      </c>
    </row>
    <row r="76">
      <c r="A76" s="5">
        <f>HYPERLINK("https://www.oit.va.gov/Services/TRM/ToolPage.aspx?tid=16348^","Microsoft Visio Data Visualize Add-in for Excel and Power Business Intelligence (PowerBI)")</f>
      </c>
      <c r="B76" s="4" t="s">
        <v>5</v>
      </c>
      <c r="C76" s="9" t="s">
        <v>6</v>
      </c>
      <c r="D76" s="12" t="s">
        <v>83</v>
      </c>
    </row>
    <row r="77">
      <c r="A77" s="5">
        <f>HYPERLINK("https://www.oit.va.gov/Services/TRM/ToolPage.aspx?tid=7575^","Microsoft Windows Expression Encoder")</f>
      </c>
      <c r="B77" s="4" t="s">
        <v>5</v>
      </c>
      <c r="C77" s="9" t="s">
        <v>6</v>
      </c>
      <c r="D77" s="12" t="s">
        <v>84</v>
      </c>
    </row>
    <row r="78">
      <c r="A78" s="5">
        <f>HYPERLINK("https://www.oit.va.gov/Services/TRM/ToolPage.aspx?tid=8276^","Microsoft Workflow Manager")</f>
      </c>
      <c r="B78" s="4" t="s">
        <v>5</v>
      </c>
      <c r="C78" s="9" t="s">
        <v>6</v>
      </c>
      <c r="D78" s="12" t="s">
        <v>85</v>
      </c>
    </row>
    <row r="79">
      <c r="A79" s="5">
        <f>HYPERLINK("https://www.oit.va.gov/Services/TRM/ToolPage.aspx?tid=5447^","Exchange Server")</f>
      </c>
      <c r="B79" s="4" t="s">
        <v>5</v>
      </c>
      <c r="C79" s="9" t="s">
        <v>6</v>
      </c>
      <c r="D79" s="12" t="s">
        <v>86</v>
      </c>
    </row>
    <row r="80">
      <c r="A80" s="5">
        <f>HYPERLINK("https://www.oit.va.gov/Services/TRM/ToolPage.aspx?tid=9698^","Microsoft Dynamics SL")</f>
      </c>
      <c r="B80" s="4" t="s">
        <v>5</v>
      </c>
      <c r="C80" s="9" t="s">
        <v>6</v>
      </c>
      <c r="D80" s="12" t="s">
        <v>87</v>
      </c>
    </row>
    <row r="81">
      <c r="A81" s="5">
        <f>HYPERLINK("https://www.oit.va.gov/Services/TRM/ToolPage.aspx?tid=7320^","Skype for Business")</f>
      </c>
      <c r="B81" s="4" t="s">
        <v>5</v>
      </c>
      <c r="C81" s="9" t="s">
        <v>6</v>
      </c>
      <c r="D81" s="12" t="s">
        <v>88</v>
      </c>
    </row>
    <row r="82">
      <c r="A82" s="5">
        <f>HYPERLINK("https://www.oit.va.gov/Services/TRM/ToolPage.aspx?tid=10760^","Microsoft Access Runtime")</f>
      </c>
      <c r="B82" s="4" t="s">
        <v>5</v>
      </c>
      <c r="C82" s="9" t="s">
        <v>6</v>
      </c>
      <c r="D82" s="12" t="s">
        <v>89</v>
      </c>
    </row>
    <row r="83">
      <c r="A83" s="5">
        <f>HYPERLINK("https://www.oit.va.gov/Services/TRM/ToolPage.aspx?tid=10581^","Microsoft AppFabric for Windows Server")</f>
      </c>
      <c r="B83" s="4" t="s">
        <v>5</v>
      </c>
      <c r="C83" s="9" t="s">
        <v>6</v>
      </c>
      <c r="D83" s="12" t="s">
        <v>90</v>
      </c>
    </row>
    <row r="84">
      <c r="A84" s="5">
        <f>HYPERLINK("https://www.oit.va.gov/Services/TRM/ToolPage.aspx?tid=11049^","Microsoft Azure Backup Server")</f>
      </c>
      <c r="B84" s="4" t="s">
        <v>5</v>
      </c>
      <c r="C84" s="9" t="s">
        <v>6</v>
      </c>
      <c r="D84" s="12" t="s">
        <v>91</v>
      </c>
    </row>
    <row r="85">
      <c r="A85" s="5">
        <f>HYPERLINK("https://www.oit.va.gov/Services/TRM/ToolPage.aspx?tid=16733^","Microsoft Azure Tools for Visual Studio Code (VS Code)")</f>
      </c>
      <c r="B85" s="4" t="s">
        <v>5</v>
      </c>
      <c r="C85" s="9" t="s">
        <v>6</v>
      </c>
      <c r="D85" s="12" t="s">
        <v>92</v>
      </c>
    </row>
    <row r="86">
      <c r="A86" s="5">
        <f>HYPERLINK("https://www.oit.va.gov/Services/TRM/ToolPage.aspx?tid=14783^","Microsoft Command Line Utilities for Structured Query Language (SQL) Server")</f>
      </c>
      <c r="B86" s="4" t="s">
        <v>5</v>
      </c>
      <c r="C86" s="9" t="s">
        <v>6</v>
      </c>
      <c r="D86" s="12" t="s">
        <v>93</v>
      </c>
    </row>
    <row r="87">
      <c r="A87" s="5">
        <f>HYPERLINK("https://www.oit.va.gov/Services/TRM/ToolPage.aspx?tid=16541^","Microsoft Customer Voice")</f>
      </c>
      <c r="B87" s="4" t="s">
        <v>5</v>
      </c>
      <c r="C87" s="9" t="s">
        <v>6</v>
      </c>
      <c r="D87" s="12" t="s">
        <v>94</v>
      </c>
    </row>
    <row r="88">
      <c r="A88" s="5">
        <f>HYPERLINK("https://www.oit.va.gov/Services/TRM/ToolPage.aspx?tid=14394^","Microsoft Data Migration Assistant")</f>
      </c>
      <c r="B88" s="4" t="s">
        <v>5</v>
      </c>
      <c r="C88" s="9" t="s">
        <v>6</v>
      </c>
      <c r="D88" s="12" t="s">
        <v>95</v>
      </c>
    </row>
    <row r="89">
      <c r="A89" s="5">
        <f>HYPERLINK("https://www.oit.va.gov/Services/TRM/ToolPage.aspx?tid=14312^","Microsoft Dynamics 365 SDK Core Tools")</f>
      </c>
      <c r="B89" s="4" t="s">
        <v>5</v>
      </c>
      <c r="C89" s="9" t="s">
        <v>6</v>
      </c>
      <c r="D89" s="12" t="s">
        <v>96</v>
      </c>
    </row>
    <row r="90">
      <c r="A90" s="5">
        <f>HYPERLINK("https://www.oit.va.gov/Services/TRM/ToolPage.aspx?tid=6979^","Microsoft Dynamics GP")</f>
      </c>
      <c r="B90" s="4" t="s">
        <v>5</v>
      </c>
      <c r="C90" s="9" t="s">
        <v>6</v>
      </c>
      <c r="D90" s="12" t="s">
        <v>97</v>
      </c>
    </row>
    <row r="91">
      <c r="A91" s="5">
        <f>HYPERLINK("https://www.oit.va.gov/Services/TRM/ToolPage.aspx?tid=16134^","Microsoft Office Online Server")</f>
      </c>
      <c r="B91" s="4" t="s">
        <v>5</v>
      </c>
      <c r="C91" s="9" t="s">
        <v>6</v>
      </c>
      <c r="D91" s="12" t="s">
        <v>98</v>
      </c>
    </row>
    <row r="92">
      <c r="A92" s="5">
        <f>HYPERLINK("https://www.oit.va.gov/Services/TRM/ToolPage.aspx?tid=15738^","Microsoft Playwright")</f>
      </c>
      <c r="B92" s="4" t="s">
        <v>5</v>
      </c>
      <c r="C92" s="9" t="s">
        <v>6</v>
      </c>
      <c r="D92" s="12" t="s">
        <v>99</v>
      </c>
    </row>
    <row r="93">
      <c r="A93" s="5">
        <f>HYPERLINK("https://www.oit.va.gov/Services/TRM/ToolPage.aspx?tid=15983^","Microsoft Power Automate (Browser Extension)")</f>
      </c>
      <c r="B93" s="4" t="s">
        <v>5</v>
      </c>
      <c r="C93" s="9" t="s">
        <v>6</v>
      </c>
      <c r="D93" s="12" t="s">
        <v>100</v>
      </c>
    </row>
    <row r="94">
      <c r="A94" s="5">
        <f>HYPERLINK("https://www.oit.va.gov/Services/TRM/ToolPage.aspx?tid=11582^","Microsoft PowerBI Data Gateway")</f>
      </c>
      <c r="B94" s="4" t="s">
        <v>5</v>
      </c>
      <c r="C94" s="9" t="s">
        <v>6</v>
      </c>
      <c r="D94" s="12" t="s">
        <v>101</v>
      </c>
    </row>
    <row r="95">
      <c r="A95" s="5">
        <f>HYPERLINK("https://www.oit.va.gov/Services/TRM/ToolPage.aspx?tid=12873^","Microsoft Remote Desktop client for macOS")</f>
      </c>
      <c r="B95" s="4" t="s">
        <v>5</v>
      </c>
      <c r="C95" s="9" t="s">
        <v>6</v>
      </c>
      <c r="D95" s="12" t="s">
        <v>102</v>
      </c>
    </row>
    <row r="96">
      <c r="A96" s="5">
        <f>HYPERLINK("https://www.oit.va.gov/Services/TRM/ToolPage.aspx?tid=16763^","Microsoft Report Message Add-in")</f>
      </c>
      <c r="B96" s="4" t="s">
        <v>5</v>
      </c>
      <c r="C96" s="9" t="s">
        <v>6</v>
      </c>
      <c r="D96" s="12" t="s">
        <v>103</v>
      </c>
    </row>
    <row r="97">
      <c r="A97" s="5">
        <f>HYPERLINK("https://www.oit.va.gov/Services/TRM/ToolPage.aspx?tid=16762^","Microsoft Report Phishing Add-in")</f>
      </c>
      <c r="B97" s="4" t="s">
        <v>5</v>
      </c>
      <c r="C97" s="9" t="s">
        <v>6</v>
      </c>
      <c r="D97" s="12" t="s">
        <v>103</v>
      </c>
    </row>
    <row r="98">
      <c r="A98" s="5">
        <f>HYPERLINK("https://www.oit.va.gov/Services/TRM/ToolPage.aspx?tid=9960^","Microsoft SQL Server Migration Assistant for Access")</f>
      </c>
      <c r="B98" s="4" t="s">
        <v>5</v>
      </c>
      <c r="C98" s="9" t="s">
        <v>6</v>
      </c>
      <c r="D98" s="12" t="s">
        <v>104</v>
      </c>
    </row>
    <row r="99">
      <c r="A99" s="5">
        <f>HYPERLINK("https://www.oit.va.gov/Services/TRM/ToolPage.aspx?tid=16398^","Microsoft Structured Query Langauage (SQL) Server System Common Language Runtime (CLR) Types (SQLSysCLRTypes)")</f>
      </c>
      <c r="B99" s="4" t="s">
        <v>5</v>
      </c>
      <c r="C99" s="9" t="s">
        <v>6</v>
      </c>
      <c r="D99" s="12" t="s">
        <v>105</v>
      </c>
    </row>
    <row r="100">
      <c r="A100" s="5">
        <f>HYPERLINK("https://www.oit.va.gov/Services/TRM/ToolPage.aspx?tid=6208^","Microsoft Structured Query Language (SQL) Server Java Database Connectivity (JDBC) Driver")</f>
      </c>
      <c r="B100" s="4" t="s">
        <v>5</v>
      </c>
      <c r="C100" s="9" t="s">
        <v>6</v>
      </c>
      <c r="D100" s="12" t="s">
        <v>106</v>
      </c>
    </row>
    <row r="101">
      <c r="A101" s="5">
        <f>HYPERLINK("https://www.oit.va.gov/Services/TRM/ToolPage.aspx?tid=8526^","Microsoft System Center Service Manager (SCSM)")</f>
      </c>
      <c r="B101" s="4" t="s">
        <v>5</v>
      </c>
      <c r="C101" s="9" t="s">
        <v>6</v>
      </c>
      <c r="D101" s="12" t="s">
        <v>107</v>
      </c>
    </row>
    <row r="102">
      <c r="A102" s="5">
        <f>HYPERLINK("https://www.oit.va.gov/Services/TRM/ToolPage.aspx?tid=10585^","Microsoft Web Deployment Tool")</f>
      </c>
      <c r="B102" s="4" t="s">
        <v>5</v>
      </c>
      <c r="C102" s="9" t="s">
        <v>6</v>
      </c>
      <c r="D102" s="12" t="s">
        <v>108</v>
      </c>
    </row>
    <row r="103">
      <c r="A103" s="5">
        <f>HYPERLINK("https://www.oit.va.gov/Services/TRM/ToolPage.aspx?tid=5671^","Microsoft Windows Software Development Kit (SDK)")</f>
      </c>
      <c r="B103" s="4" t="s">
        <v>5</v>
      </c>
      <c r="C103" s="9" t="s">
        <v>6</v>
      </c>
      <c r="D103" s="12" t="s">
        <v>109</v>
      </c>
    </row>
    <row r="104">
      <c r="A104" s="5">
        <f>HYPERLINK("https://www.oit.va.gov/Services/TRM/ToolPage.aspx?tid=16227^","Adobe Acrobat Microsoft Edge Extension")</f>
      </c>
      <c r="B104" s="4" t="s">
        <v>110</v>
      </c>
      <c r="C104" s="9" t="s">
        <v>6</v>
      </c>
      <c r="D104" s="12" t="s">
        <v>111</v>
      </c>
    </row>
    <row r="105">
      <c r="A105" s="5">
        <f>HYPERLINK("https://www.oit.va.gov/Services/TRM/ToolPage.aspx?tid=10008^","Microsoft .NET")</f>
      </c>
      <c r="B105" s="4" t="s">
        <v>5</v>
      </c>
      <c r="C105" s="9" t="s">
        <v>6</v>
      </c>
      <c r="D105" s="12" t="s">
        <v>112</v>
      </c>
    </row>
    <row r="106">
      <c r="A106" s="5">
        <f>HYPERLINK("https://www.oit.va.gov/Services/TRM/ToolPage.aspx?tid=11055^","Microsoft Assessment and Planning Toolkit")</f>
      </c>
      <c r="B106" s="4" t="s">
        <v>5</v>
      </c>
      <c r="C106" s="9" t="s">
        <v>6</v>
      </c>
      <c r="D106" s="12" t="s">
        <v>113</v>
      </c>
    </row>
    <row r="107">
      <c r="A107" s="5">
        <f>HYPERLINK("https://www.oit.va.gov/Services/TRM/ToolPage.aspx?tid=11054^","Microsoft Azure Storage Explorer")</f>
      </c>
      <c r="B107" s="4" t="s">
        <v>5</v>
      </c>
      <c r="C107" s="9" t="s">
        <v>6</v>
      </c>
      <c r="D107" s="12" t="s">
        <v>29</v>
      </c>
    </row>
    <row r="108">
      <c r="A108" s="5">
        <f>HYPERLINK("https://www.oit.va.gov/Services/TRM/ToolPage.aspx?tid=6328^","Microsoft Debug Diagnostic Tool")</f>
      </c>
      <c r="B108" s="4" t="s">
        <v>5</v>
      </c>
      <c r="C108" s="9" t="s">
        <v>6</v>
      </c>
      <c r="D108" s="12" t="s">
        <v>114</v>
      </c>
    </row>
    <row r="109">
      <c r="A109" s="5">
        <f>HYPERLINK("https://www.oit.va.gov/Services/TRM/ToolPage.aspx?tid=16361^","Microsoft Emulator")</f>
      </c>
      <c r="B109" s="4" t="s">
        <v>5</v>
      </c>
      <c r="C109" s="9" t="s">
        <v>6</v>
      </c>
      <c r="D109" s="12" t="s">
        <v>115</v>
      </c>
    </row>
    <row r="110">
      <c r="A110" s="5">
        <f>HYPERLINK("https://www.oit.va.gov/Services/TRM/ToolPage.aspx?tid=6056^","Microsoft Extensible Markup Language (XML) Core Services (MSXML)")</f>
      </c>
      <c r="B110" s="4" t="s">
        <v>5</v>
      </c>
      <c r="C110" s="9" t="s">
        <v>6</v>
      </c>
      <c r="D110" s="12" t="s">
        <v>116</v>
      </c>
    </row>
    <row r="111">
      <c r="A111" s="5">
        <f>HYPERLINK("https://www.oit.va.gov/Services/TRM/ToolPage.aspx?tid=7249^","Microsoft LifeCam Cinema")</f>
      </c>
      <c r="B111" s="4" t="s">
        <v>5</v>
      </c>
      <c r="C111" s="9" t="s">
        <v>6</v>
      </c>
      <c r="D111" s="12" t="s">
        <v>117</v>
      </c>
    </row>
    <row r="112">
      <c r="A112" s="5">
        <f>HYPERLINK("https://www.oit.va.gov/Services/TRM/ToolPage.aspx?tid=10076^","Microsoft Office Proofing Tools")</f>
      </c>
      <c r="B112" s="4" t="s">
        <v>5</v>
      </c>
      <c r="C112" s="9" t="s">
        <v>6</v>
      </c>
      <c r="D112" s="12" t="s">
        <v>118</v>
      </c>
    </row>
    <row r="113">
      <c r="A113" s="5">
        <f>HYPERLINK("https://www.oit.va.gov/Services/TRM/ToolPage.aspx?tid=14309^","Microsoft Plug-in Registration Tool")</f>
      </c>
      <c r="B113" s="4" t="s">
        <v>5</v>
      </c>
      <c r="C113" s="9" t="s">
        <v>6</v>
      </c>
      <c r="D113" s="12" t="s">
        <v>119</v>
      </c>
    </row>
    <row r="114">
      <c r="A114" s="5">
        <f>HYPERLINK("https://www.oit.va.gov/Services/TRM/ToolPage.aspx?tid=10157^","Microsoft Power Query for Microsoft Excel")</f>
      </c>
      <c r="B114" s="4" t="s">
        <v>5</v>
      </c>
      <c r="C114" s="9" t="s">
        <v>6</v>
      </c>
      <c r="D114" s="12" t="s">
        <v>120</v>
      </c>
    </row>
    <row r="115">
      <c r="A115" s="5">
        <f>HYPERLINK("https://www.oit.va.gov/Services/TRM/ToolPage.aspx?tid=13947^","Microsoft Sticky Notes")</f>
      </c>
      <c r="B115" s="4" t="s">
        <v>5</v>
      </c>
      <c r="C115" s="9" t="s">
        <v>6</v>
      </c>
      <c r="D115" s="12" t="s">
        <v>121</v>
      </c>
    </row>
    <row r="116">
      <c r="A116" s="5">
        <f>HYPERLINK("https://www.oit.va.gov/Services/TRM/ToolPage.aspx?tid=11403^","Microsoft Sync Framework Software Development Kit (SDK)")</f>
      </c>
      <c r="B116" s="4" t="s">
        <v>5</v>
      </c>
      <c r="C116" s="9" t="s">
        <v>6</v>
      </c>
      <c r="D116" s="12" t="s">
        <v>122</v>
      </c>
    </row>
    <row r="117">
      <c r="A117" s="5">
        <f>HYPERLINK("https://www.oit.va.gov/Services/TRM/ToolPage.aspx?tid=5773^","Windows Media Player")</f>
      </c>
      <c r="B117" s="4" t="s">
        <v>5</v>
      </c>
      <c r="C117" s="9" t="s">
        <v>6</v>
      </c>
      <c r="D117" s="12" t="s">
        <v>123</v>
      </c>
    </row>
    <row r="118">
      <c r="A118" s="5">
        <f>HYPERLINK("https://www.oit.va.gov/Services/TRM/ToolPage.aspx?tid=5920^","Component Checker")</f>
      </c>
      <c r="B118" s="4" t="s">
        <v>5</v>
      </c>
      <c r="C118" s="9" t="s">
        <v>6</v>
      </c>
      <c r="D118" s="12" t="s">
        <v>124</v>
      </c>
    </row>
    <row r="119">
      <c r="A119" s="5">
        <f>HYPERLINK("https://www.oit.va.gov/Services/TRM/ToolPage.aspx?tid=11050^","Microsoft Azure Command Line Interface (CLI)")</f>
      </c>
      <c r="B119" s="4" t="s">
        <v>5</v>
      </c>
      <c r="C119" s="9" t="s">
        <v>6</v>
      </c>
      <c r="D119" s="12" t="s">
        <v>125</v>
      </c>
    </row>
    <row r="120">
      <c r="A120" s="5">
        <f>HYPERLINK("https://www.oit.va.gov/Services/TRM/ToolPage.aspx?tid=15717^","Microsoft Bot Framework Composer")</f>
      </c>
      <c r="B120" s="4" t="s">
        <v>5</v>
      </c>
      <c r="C120" s="9" t="s">
        <v>6</v>
      </c>
      <c r="D120" s="12" t="s">
        <v>126</v>
      </c>
    </row>
    <row r="121">
      <c r="A121" s="5">
        <f>HYPERLINK("https://www.oit.va.gov/Services/TRM/ToolPage.aspx?tid=15217^","Microsoft Remote Desktop Client for Windows")</f>
      </c>
      <c r="B121" s="4" t="s">
        <v>5</v>
      </c>
      <c r="C121" s="9" t="s">
        <v>6</v>
      </c>
      <c r="D121" s="12" t="s">
        <v>127</v>
      </c>
    </row>
    <row r="122">
      <c r="A122" s="5">
        <f>HYPERLINK("https://www.oit.va.gov/Services/TRM/ToolPage.aspx?tid=10547^","Microsoft SharePoint Foundation")</f>
      </c>
      <c r="B122" s="4" t="s">
        <v>5</v>
      </c>
      <c r="C122" s="9" t="s">
        <v>6</v>
      </c>
      <c r="D122" s="12" t="s">
        <v>128</v>
      </c>
    </row>
    <row r="123">
      <c r="A123" s="5">
        <f>HYPERLINK("https://www.oit.va.gov/Services/TRM/ToolPage.aspx?tid=15390^","Microsoft Structured Query Language (SQL) Server Reporting Services (SSRS)")</f>
      </c>
      <c r="B123" s="4" t="s">
        <v>5</v>
      </c>
      <c r="C123" s="9" t="s">
        <v>6</v>
      </c>
      <c r="D123" s="12" t="s">
        <v>129</v>
      </c>
    </row>
    <row r="124">
      <c r="A124" s="5">
        <f>HYPERLINK("https://www.oit.va.gov/Services/TRM/ToolPage.aspx?tid=16261^","Microsoft Test and Feedback Extension")</f>
      </c>
      <c r="B124" s="4" t="s">
        <v>5</v>
      </c>
      <c r="C124" s="9" t="s">
        <v>6</v>
      </c>
      <c r="D124" s="12" t="s">
        <v>130</v>
      </c>
    </row>
    <row r="125">
      <c r="A125" s="5">
        <f>HYPERLINK("https://www.oit.va.gov/Services/TRM/ToolPage.aspx?tid=6528^","Microsoft Windows Mobile Device Center")</f>
      </c>
      <c r="B125" s="4" t="s">
        <v>5</v>
      </c>
      <c r="C125" s="9" t="s">
        <v>6</v>
      </c>
      <c r="D125" s="12" t="s">
        <v>131</v>
      </c>
    </row>
    <row r="126">
      <c r="A126" s="5">
        <f>HYPERLINK("https://www.oit.va.gov/Services/TRM/ToolPage.aspx?tid=31^","Windows Client")</f>
      </c>
      <c r="B126" s="4" t="s">
        <v>5</v>
      </c>
      <c r="C126" s="9" t="s">
        <v>6</v>
      </c>
      <c r="D126" s="12" t="s">
        <v>132</v>
      </c>
    </row>
    <row r="127">
      <c r="A127" s="5">
        <f>HYPERLINK("https://www.oit.va.gov/Services/TRM/ToolPage.aspx?tid=8672^","McAfee Security for Microsoft SharePoint")</f>
      </c>
      <c r="B127" s="4" t="s">
        <v>133</v>
      </c>
      <c r="C127" s="9" t="s">
        <v>6</v>
      </c>
      <c r="D127" s="12" t="s">
        <v>134</v>
      </c>
    </row>
    <row r="128">
      <c r="A128" s="5">
        <f>HYPERLINK("https://www.oit.va.gov/Services/TRM/ToolPage.aspx?tid=14883^","Microsoft FindTime")</f>
      </c>
      <c r="B128" s="4" t="s">
        <v>5</v>
      </c>
      <c r="C128" s="9" t="s">
        <v>6</v>
      </c>
      <c r="D128" s="12" t="s">
        <v>135</v>
      </c>
    </row>
    <row r="129">
      <c r="A129" s="5">
        <f>HYPERLINK("https://www.oit.va.gov/Services/TRM/ToolPage.aspx?tid=16501^","Oracle Client for Microsoft Tools")</f>
      </c>
      <c r="B129" s="4" t="s">
        <v>136</v>
      </c>
      <c r="C129" s="9" t="s">
        <v>6</v>
      </c>
      <c r="D129" s="12" t="s">
        <v>137</v>
      </c>
    </row>
    <row r="130">
      <c r="A130" s="5">
        <f>HYPERLINK("https://www.oit.va.gov/Services/TRM/ToolPage.aspx?tid=16189^","Microsoft Azure Information Protection Viewer")</f>
      </c>
      <c r="B130" s="4" t="s">
        <v>5</v>
      </c>
      <c r="C130" s="9" t="s">
        <v>6</v>
      </c>
      <c r="D130" s="12" t="s">
        <v>138</v>
      </c>
    </row>
    <row r="131">
      <c r="A131" s="5">
        <f>HYPERLINK("https://www.oit.va.gov/Services/TRM/ToolPage.aspx?tid=12807^","Microsoft Azure Storage Software Development Kit (SDK) for Node.js")</f>
      </c>
      <c r="B131" s="4" t="s">
        <v>5</v>
      </c>
      <c r="C131" s="9" t="s">
        <v>6</v>
      </c>
      <c r="D131" s="12" t="s">
        <v>41</v>
      </c>
    </row>
    <row r="132">
      <c r="A132" s="5">
        <f>HYPERLINK("https://www.oit.va.gov/Services/TRM/ToolPage.aspx?tid=10146^","Microsoft CAPICOM")</f>
      </c>
      <c r="B132" s="4" t="s">
        <v>5</v>
      </c>
      <c r="C132" s="9" t="s">
        <v>6</v>
      </c>
      <c r="D132" s="12" t="s">
        <v>139</v>
      </c>
    </row>
    <row r="133">
      <c r="A133" s="5">
        <f>HYPERLINK("https://www.oit.va.gov/Services/TRM/ToolPage.aspx?tid=9304^","Microsoft NTttcp")</f>
      </c>
      <c r="B133" s="4" t="s">
        <v>5</v>
      </c>
      <c r="C133" s="9" t="s">
        <v>6</v>
      </c>
      <c r="D133" s="12" t="s">
        <v>140</v>
      </c>
    </row>
    <row r="134">
      <c r="A134" s="5">
        <f>HYPERLINK("https://www.oit.va.gov/Services/TRM/ToolPage.aspx?tid=16233^","Microsoft Power Virtual Agents")</f>
      </c>
      <c r="B134" s="4" t="s">
        <v>5</v>
      </c>
      <c r="C134" s="9" t="s">
        <v>6</v>
      </c>
      <c r="D134" s="12" t="s">
        <v>141</v>
      </c>
    </row>
    <row r="135">
      <c r="A135" s="5">
        <f>HYPERLINK("https://www.oit.va.gov/Services/TRM/ToolPage.aspx?tid=9972^","Microsoft Virtual Machine Converter")</f>
      </c>
      <c r="B135" s="4" t="s">
        <v>5</v>
      </c>
      <c r="C135" s="9" t="s">
        <v>6</v>
      </c>
      <c r="D135" s="12" t="s">
        <v>131</v>
      </c>
    </row>
    <row r="136">
      <c r="A136" s="5">
        <f>HYPERLINK("https://www.oit.va.gov/Services/TRM/ToolPage.aspx?tid=16149^","Calendar Pro for Microsoft Teams")</f>
      </c>
      <c r="B136" s="4" t="s">
        <v>142</v>
      </c>
      <c r="C136" s="9" t="s">
        <v>6</v>
      </c>
      <c r="D136" s="12" t="s">
        <v>143</v>
      </c>
    </row>
    <row r="137">
      <c r="A137" s="5">
        <f>HYPERLINK("https://www.oit.va.gov/Services/TRM/ToolPage.aspx?tid=10366^","Chart Controls for Microsoft .NET Framework 3.5")</f>
      </c>
      <c r="B137" s="4" t="s">
        <v>5</v>
      </c>
      <c r="C137" s="9" t="s">
        <v>6</v>
      </c>
      <c r="D137" s="12" t="s">
        <v>144</v>
      </c>
    </row>
    <row r="138">
      <c r="A138" s="5">
        <f>HYPERLINK("https://www.oit.va.gov/Services/TRM/ToolPage.aspx?tid=5653^","Microsoft .NET Compact Framework")</f>
      </c>
      <c r="B138" s="4" t="s">
        <v>5</v>
      </c>
      <c r="C138" s="9" t="s">
        <v>6</v>
      </c>
      <c r="D138" s="12" t="s">
        <v>145</v>
      </c>
    </row>
    <row r="139">
      <c r="A139" s="5">
        <f>HYPERLINK("https://www.oit.va.gov/Services/TRM/ToolPage.aspx?tid=14059^","Microsoft Azure Cosmos Database Node.js Software Development Kit (SDK)")</f>
      </c>
      <c r="B139" s="4" t="s">
        <v>5</v>
      </c>
      <c r="C139" s="9" t="s">
        <v>6</v>
      </c>
      <c r="D139" s="12" t="s">
        <v>146</v>
      </c>
    </row>
    <row r="140">
      <c r="A140" s="5">
        <f>HYPERLINK("https://www.oit.va.gov/Services/TRM/ToolPage.aspx?tid=11052^","Microsoft Azure Recovery Services Agent")</f>
      </c>
      <c r="B140" s="4" t="s">
        <v>5</v>
      </c>
      <c r="C140" s="9" t="s">
        <v>6</v>
      </c>
      <c r="D140" s="12" t="s">
        <v>147</v>
      </c>
    </row>
    <row r="141">
      <c r="A141" s="5">
        <f>HYPERLINK("https://www.oit.va.gov/Services/TRM/ToolPage.aspx?tid=5656^","Microsoft Bookshelf")</f>
      </c>
      <c r="B141" s="4" t="s">
        <v>5</v>
      </c>
      <c r="C141" s="9" t="s">
        <v>6</v>
      </c>
      <c r="D141" s="12" t="s">
        <v>148</v>
      </c>
    </row>
    <row r="142">
      <c r="A142" s="5">
        <f>HYPERLINK("https://www.oit.va.gov/Services/TRM/ToolPage.aspx?tid=14209^","Microsoft Bot Framework Software Development Kit (SDK)")</f>
      </c>
      <c r="B142" s="4" t="s">
        <v>5</v>
      </c>
      <c r="C142" s="9" t="s">
        <v>6</v>
      </c>
      <c r="D142" s="12" t="s">
        <v>149</v>
      </c>
    </row>
    <row r="143">
      <c r="A143" s="5">
        <f>HYPERLINK("https://www.oit.va.gov/Services/TRM/ToolPage.aspx?tid=9959^","Microsoft Configuration Manager Trace (CMTrace)")</f>
      </c>
      <c r="B143" s="4" t="s">
        <v>5</v>
      </c>
      <c r="C143" s="9" t="s">
        <v>6</v>
      </c>
      <c r="D143" s="12" t="s">
        <v>150</v>
      </c>
    </row>
    <row r="144">
      <c r="A144" s="5">
        <f>HYPERLINK("https://www.oit.va.gov/Services/TRM/ToolPage.aspx?tid=10625^","Microsoft Expression Web")</f>
      </c>
      <c r="B144" s="4" t="s">
        <v>5</v>
      </c>
      <c r="C144" s="9" t="s">
        <v>6</v>
      </c>
      <c r="D144" s="12" t="s">
        <v>151</v>
      </c>
    </row>
    <row r="145">
      <c r="A145" s="5">
        <f>HYPERLINK("https://www.oit.va.gov/Services/TRM/ToolPage.aspx?tid=7082^","Microsoft Filter Pack")</f>
      </c>
      <c r="B145" s="4" t="s">
        <v>5</v>
      </c>
      <c r="C145" s="9" t="s">
        <v>6</v>
      </c>
      <c r="D145" s="12" t="s">
        <v>152</v>
      </c>
    </row>
    <row r="146">
      <c r="A146" s="5">
        <f>HYPERLINK("https://www.oit.va.gov/Services/TRM/ToolPage.aspx?tid=8539^","Microsoft Forecaster")</f>
      </c>
      <c r="B146" s="4" t="s">
        <v>5</v>
      </c>
      <c r="C146" s="9" t="s">
        <v>6</v>
      </c>
      <c r="D146" s="12" t="s">
        <v>42</v>
      </c>
    </row>
    <row r="147">
      <c r="A147" s="5">
        <f>HYPERLINK("https://www.oit.va.gov/Services/TRM/ToolPage.aspx?tid=15732^","Microsoft Git-TF for Visual Studio Team Foundation Server 2012")</f>
      </c>
      <c r="B147" s="4" t="s">
        <v>5</v>
      </c>
      <c r="C147" s="9" t="s">
        <v>6</v>
      </c>
      <c r="D147" s="12" t="s">
        <v>153</v>
      </c>
    </row>
    <row r="148">
      <c r="A148" s="5">
        <f>HYPERLINK("https://www.oit.va.gov/Services/TRM/ToolPage.aspx?tid=7083^","Microsoft MapPoint")</f>
      </c>
      <c r="B148" s="4" t="s">
        <v>5</v>
      </c>
      <c r="C148" s="9" t="s">
        <v>6</v>
      </c>
      <c r="D148" s="12" t="s">
        <v>154</v>
      </c>
    </row>
    <row r="149">
      <c r="A149" s="5">
        <f>HYPERLINK("https://www.oit.va.gov/Services/TRM/ToolPage.aspx?tid=10060^","Microsoft Message Queuing (MSMQ)")</f>
      </c>
      <c r="B149" s="4" t="s">
        <v>5</v>
      </c>
      <c r="C149" s="9" t="s">
        <v>6</v>
      </c>
      <c r="D149" s="12" t="s">
        <v>155</v>
      </c>
    </row>
    <row r="150">
      <c r="A150" s="5">
        <f>HYPERLINK("https://www.oit.va.gov/Services/TRM/ToolPage.aspx?tid=7678^","Microsoft Mouse and Keyboard Center")</f>
      </c>
      <c r="B150" s="4" t="s">
        <v>5</v>
      </c>
      <c r="C150" s="9" t="s">
        <v>6</v>
      </c>
      <c r="D150" s="12" t="s">
        <v>150</v>
      </c>
    </row>
    <row r="151">
      <c r="A151" s="5">
        <f>HYPERLINK("https://www.oit.va.gov/Services/TRM/ToolPage.aspx?tid=15336^","Microsoft Office Compatibility Pack")</f>
      </c>
      <c r="B151" s="4" t="s">
        <v>5</v>
      </c>
      <c r="C151" s="9" t="s">
        <v>6</v>
      </c>
      <c r="D151" s="12" t="s">
        <v>156</v>
      </c>
    </row>
    <row r="152">
      <c r="A152" s="5">
        <f>HYPERLINK("https://www.oit.va.gov/Services/TRM/ToolPage.aspx?tid=9237^","Microsoft Office Word Add-in For MediaWiki")</f>
      </c>
      <c r="B152" s="4" t="s">
        <v>5</v>
      </c>
      <c r="C152" s="9" t="s">
        <v>6</v>
      </c>
      <c r="D152" s="12" t="s">
        <v>157</v>
      </c>
    </row>
    <row r="153">
      <c r="A153" s="5">
        <f>HYPERLINK("https://www.oit.va.gov/Services/TRM/ToolPage.aspx?tid=8101^","Microsoft Photo Story")</f>
      </c>
      <c r="B153" s="4" t="s">
        <v>5</v>
      </c>
      <c r="C153" s="9" t="s">
        <v>6</v>
      </c>
      <c r="D153" s="12" t="s">
        <v>158</v>
      </c>
    </row>
    <row r="154">
      <c r="A154" s="5">
        <f>HYPERLINK("https://www.oit.va.gov/Services/TRM/ToolPage.aspx?tid=16002^","Microsoft PowerToys")</f>
      </c>
      <c r="B154" s="4" t="s">
        <v>5</v>
      </c>
      <c r="C154" s="9" t="s">
        <v>6</v>
      </c>
      <c r="D154" s="12" t="s">
        <v>159</v>
      </c>
    </row>
    <row r="155">
      <c r="A155" s="5">
        <f>HYPERLINK("https://www.oit.va.gov/Services/TRM/ToolPage.aspx?tid=5622^","Microsoft SharePoint Workspace (Groove)")</f>
      </c>
      <c r="B155" s="4" t="s">
        <v>5</v>
      </c>
      <c r="C155" s="9" t="s">
        <v>6</v>
      </c>
      <c r="D155" s="12" t="s">
        <v>160</v>
      </c>
    </row>
    <row r="156">
      <c r="A156" s="5">
        <f>HYPERLINK("https://www.oit.va.gov/Services/TRM/ToolPage.aspx?tid=15528^","Microsoft Teams Powershell Module")</f>
      </c>
      <c r="B156" s="4" t="s">
        <v>5</v>
      </c>
      <c r="C156" s="9" t="s">
        <v>6</v>
      </c>
      <c r="D156" s="12" t="s">
        <v>161</v>
      </c>
    </row>
    <row r="157">
      <c r="A157" s="5">
        <f>HYPERLINK("https://www.oit.va.gov/Services/TRM/ToolPage.aspx?tid=15126^","Microsoft Visio Software Development Kit (SDK)")</f>
      </c>
      <c r="B157" s="4" t="s">
        <v>5</v>
      </c>
      <c r="C157" s="9" t="s">
        <v>6</v>
      </c>
      <c r="D157" s="12" t="s">
        <v>162</v>
      </c>
    </row>
    <row r="158">
      <c r="A158" s="5">
        <f>HYPERLINK("https://www.oit.va.gov/Services/TRM/ToolPage.aspx?tid=10248^","Microsoft Visual J# Version 2.0 Redistributable Package")</f>
      </c>
      <c r="B158" s="4" t="s">
        <v>5</v>
      </c>
      <c r="C158" s="9" t="s">
        <v>6</v>
      </c>
      <c r="D158" s="12" t="s">
        <v>163</v>
      </c>
    </row>
    <row r="159">
      <c r="A159" s="5">
        <f>HYPERLINK("https://www.oit.va.gov/Services/TRM/ToolPage.aspx?tid=6481^","AdminStudio")</f>
      </c>
      <c r="B159" s="4" t="s">
        <v>164</v>
      </c>
      <c r="C159" s="9" t="s">
        <v>6</v>
      </c>
      <c r="D159" s="12" t="s">
        <v>165</v>
      </c>
    </row>
    <row r="160">
      <c r="A160" s="5">
        <f>HYPERLINK("https://www.oit.va.gov/Services/TRM/ToolPage.aspx?tid=9801^","Lexis for Microsoft Office")</f>
      </c>
      <c r="B160" s="4" t="s">
        <v>166</v>
      </c>
      <c r="C160" s="9" t="s">
        <v>6</v>
      </c>
      <c r="D160" s="12" t="s">
        <v>167</v>
      </c>
    </row>
    <row r="161">
      <c r="A161" s="5">
        <f>HYPERLINK("https://www.oit.va.gov/Services/TRM/ToolPage.aspx?tid=14954^","Microsoft Core Fonts")</f>
      </c>
      <c r="B161" s="4" t="s">
        <v>5</v>
      </c>
      <c r="C161" s="9" t="s">
        <v>6</v>
      </c>
      <c r="D161" s="12" t="s">
        <v>168</v>
      </c>
    </row>
    <row r="162">
      <c r="A162" s="5">
        <f>HYPERLINK("https://www.oit.va.gov/Services/TRM/ToolPage.aspx?tid=16220^","Microsoft Power Platform Command Line Interface")</f>
      </c>
      <c r="B162" s="4" t="s">
        <v>5</v>
      </c>
      <c r="C162" s="9" t="s">
        <v>6</v>
      </c>
      <c r="D162" s="12" t="s">
        <v>169</v>
      </c>
    </row>
    <row r="163">
      <c r="A163" s="5">
        <f>HYPERLINK("https://www.oit.va.gov/Services/TRM/ToolPage.aspx?tid=13050^","Application Insights JavaScript (JS)")</f>
      </c>
      <c r="B163" s="4" t="s">
        <v>5</v>
      </c>
      <c r="C163" s="9" t="s">
        <v>6</v>
      </c>
      <c r="D163" s="12" t="s">
        <v>170</v>
      </c>
    </row>
    <row r="164">
      <c r="A164" s="5">
        <f>HYPERLINK("https://www.oit.va.gov/Services/TRM/ToolPage.aspx?tid=10412^","Grammarly for Microsoft (MS) Office")</f>
      </c>
      <c r="B164" s="4" t="s">
        <v>171</v>
      </c>
      <c r="C164" s="9" t="s">
        <v>6</v>
      </c>
      <c r="D164" s="12" t="s">
        <v>172</v>
      </c>
    </row>
    <row r="165">
      <c r="A165" s="5">
        <f>HYPERLINK("https://www.oit.va.gov/Services/TRM/ToolPage.aspx?tid=11048^","Microsoft AzCopy")</f>
      </c>
      <c r="B165" s="4" t="s">
        <v>5</v>
      </c>
      <c r="C165" s="9" t="s">
        <v>6</v>
      </c>
      <c r="D165" s="12" t="s">
        <v>173</v>
      </c>
    </row>
    <row r="166">
      <c r="A166" s="5">
        <f>HYPERLINK("https://www.oit.va.gov/Services/TRM/ToolPage.aspx?tid=11796^","Microsoft Solver Foundation")</f>
      </c>
      <c r="B166" s="4" t="s">
        <v>5</v>
      </c>
      <c r="C166" s="9" t="s">
        <v>6</v>
      </c>
      <c r="D166" s="12" t="s">
        <v>174</v>
      </c>
    </row>
    <row r="167">
      <c r="A167" s="5">
        <f>HYPERLINK("https://www.oit.va.gov/Services/TRM/ToolPage.aspx?tid=14253^","Microsoft.CrmSdk.CoreTools")</f>
      </c>
      <c r="B167" s="4" t="s">
        <v>5</v>
      </c>
      <c r="C167" s="9" t="s">
        <v>6</v>
      </c>
      <c r="D167" s="12" t="s">
        <v>175</v>
      </c>
    </row>
    <row r="168">
      <c r="A168" s="5">
        <f>HYPERLINK("https://www.oit.va.gov/Services/TRM/ToolPage.aspx?tid=7994^","Mono")</f>
      </c>
      <c r="B168" s="4" t="s">
        <v>5</v>
      </c>
      <c r="C168" s="9" t="s">
        <v>6</v>
      </c>
      <c r="D168" s="12" t="s">
        <v>176</v>
      </c>
    </row>
    <row r="169">
      <c r="A169" s="5">
        <f>HYPERLINK("https://www.oit.va.gov/Services/TRM/ToolPage.aspx?tid=15724^","Radacad Microsoft Power Business Intelligence Helper")</f>
      </c>
      <c r="B169" s="4" t="s">
        <v>177</v>
      </c>
      <c r="C169" s="9" t="s">
        <v>6</v>
      </c>
      <c r="D169" s="12" t="s">
        <v>178</v>
      </c>
    </row>
    <row r="170">
      <c r="A170" s="5">
        <f>HYPERLINK("https://www.oit.va.gov/Services/TRM/ToolPage.aspx?tid=15622^","Structured Query Language (SQL) Server Integration Services (SSIS) Projects")</f>
      </c>
      <c r="B170" s="4" t="s">
        <v>5</v>
      </c>
      <c r="C170" s="9" t="s">
        <v>6</v>
      </c>
      <c r="D170" s="12" t="s">
        <v>179</v>
      </c>
    </row>
    <row r="171">
      <c r="A171" s="5">
        <f>HYPERLINK("https://www.oit.va.gov/Services/TRM/ToolPage.aspx?tid=10575^","Structured Query Language (SQL) Server Management Studio (SSMS)")</f>
      </c>
      <c r="B171" s="4" t="s">
        <v>5</v>
      </c>
      <c r="C171" s="9" t="s">
        <v>6</v>
      </c>
      <c r="D171" s="12" t="s">
        <v>180</v>
      </c>
    </row>
    <row r="172">
      <c r="A172" s="5">
        <f>HYPERLINK("https://www.oit.va.gov/Services/TRM/ToolPage.aspx?tid=8378^","Windows Azure Pack")</f>
      </c>
      <c r="B172" s="4" t="s">
        <v>5</v>
      </c>
      <c r="C172" s="9" t="s">
        <v>6</v>
      </c>
      <c r="D172" s="12" t="s">
        <v>181</v>
      </c>
    </row>
    <row r="173">
      <c r="A173" s="5">
        <f>HYPERLINK("https://www.oit.va.gov/Services/TRM/ToolPage.aspx?tid=15135^","Local Group Policy Object (LGPO) Utility")</f>
      </c>
      <c r="B173" s="4" t="s">
        <v>5</v>
      </c>
      <c r="C173" s="9" t="s">
        <v>6</v>
      </c>
      <c r="D173" s="12" t="s">
        <v>182</v>
      </c>
    </row>
    <row r="174">
      <c r="A174" s="5">
        <f>HYPERLINK("https://www.oit.va.gov/Services/TRM/ToolPage.aspx?tid=6501^","Microsoft Mouse without Borders")</f>
      </c>
      <c r="B174" s="4" t="s">
        <v>5</v>
      </c>
      <c r="C174" s="9" t="s">
        <v>6</v>
      </c>
      <c r="D174" s="12" t="s">
        <v>49</v>
      </c>
    </row>
    <row r="175">
      <c r="A175" s="5">
        <f>HYPERLINK("https://www.oit.va.gov/Services/TRM/ToolPage.aspx?tid=10646^","SAS Add-In for Microsoft Office")</f>
      </c>
      <c r="B175" s="4" t="s">
        <v>183</v>
      </c>
      <c r="C175" s="9" t="s">
        <v>6</v>
      </c>
      <c r="D175" s="12" t="s">
        <v>184</v>
      </c>
    </row>
    <row r="176">
      <c r="A176" s="5">
        <f>HYPERLINK("https://www.oit.va.gov/Services/TRM/ToolPage.aspx?tid=14807^","Dell EMC PowerProtect Microsoft Application Agent")</f>
      </c>
      <c r="B176" s="4" t="s">
        <v>185</v>
      </c>
      <c r="C176" s="9" t="s">
        <v>6</v>
      </c>
      <c r="D176" s="12" t="s">
        <v>186</v>
      </c>
    </row>
    <row r="177">
      <c r="A177" s="5">
        <f>HYPERLINK("https://www.oit.va.gov/Services/TRM/ToolPage.aspx?tid=6590^","Forefront Protection 2010 for SharePoint")</f>
      </c>
      <c r="B177" s="4" t="s">
        <v>5</v>
      </c>
      <c r="C177" s="9" t="s">
        <v>6</v>
      </c>
      <c r="D177" s="12" t="s">
        <v>66</v>
      </c>
    </row>
    <row r="178">
      <c r="A178" s="5">
        <f>HYPERLINK("https://www.oit.va.gov/Services/TRM/ToolPage.aspx?tid=15139^","Microsoft Analysis Services OLE DB Provider")</f>
      </c>
      <c r="B178" s="4" t="s">
        <v>5</v>
      </c>
      <c r="C178" s="9" t="s">
        <v>6</v>
      </c>
      <c r="D178" s="12" t="s">
        <v>98</v>
      </c>
    </row>
    <row r="179">
      <c r="A179" s="5">
        <f>HYPERLINK("https://www.oit.va.gov/Services/TRM/ToolPage.aspx?tid=11405^","Microsoft ASP.NET Razor")</f>
      </c>
      <c r="B179" s="4" t="s">
        <v>187</v>
      </c>
      <c r="C179" s="9" t="s">
        <v>6</v>
      </c>
      <c r="D179" s="12" t="s">
        <v>188</v>
      </c>
    </row>
    <row r="180">
      <c r="A180" s="5">
        <f>HYPERLINK("https://www.oit.va.gov/Services/TRM/ToolPage.aspx?tid=14684^","Topaz Microsoft Office Plug-Ins")</f>
      </c>
      <c r="B180" s="4" t="s">
        <v>189</v>
      </c>
      <c r="C180" s="9" t="s">
        <v>6</v>
      </c>
      <c r="D180" s="12" t="s">
        <v>190</v>
      </c>
    </row>
    <row r="181">
      <c r="A181" s="5">
        <f>HYPERLINK("https://www.oit.va.gov/Services/TRM/ToolPage.aspx?tid=10041^","Visual Studio 2010 Tools for Office Runtime")</f>
      </c>
      <c r="B181" s="4" t="s">
        <v>5</v>
      </c>
      <c r="C181" s="9" t="s">
        <v>6</v>
      </c>
      <c r="D181" s="12" t="s">
        <v>191</v>
      </c>
    </row>
    <row r="182">
      <c r="A182" s="5">
        <f>HYPERLINK("https://www.oit.va.gov/Services/TRM/ToolPage.aspx?tid=13747^","Azure Data Studio")</f>
      </c>
      <c r="B182" s="4" t="s">
        <v>5</v>
      </c>
      <c r="C182" s="9" t="s">
        <v>6</v>
      </c>
      <c r="D182" s="12" t="s">
        <v>192</v>
      </c>
    </row>
    <row r="183">
      <c r="A183" s="5">
        <f>HYPERLINK("https://www.oit.va.gov/Services/TRM/ToolPage.aspx?tid=5668^","Azure DevOps Server")</f>
      </c>
      <c r="B183" s="4" t="s">
        <v>5</v>
      </c>
      <c r="C183" s="9" t="s">
        <v>6</v>
      </c>
      <c r="D183" s="12" t="s">
        <v>193</v>
      </c>
    </row>
    <row r="184">
      <c r="A184" s="5">
        <f>HYPERLINK("https://www.oit.va.gov/Services/TRM/ToolPage.aspx?tid=8811^","Feith CheckIn")</f>
      </c>
      <c r="B184" s="4" t="s">
        <v>194</v>
      </c>
      <c r="C184" s="9" t="s">
        <v>6</v>
      </c>
      <c r="D184" s="12" t="s">
        <v>195</v>
      </c>
    </row>
    <row r="185">
      <c r="A185" s="5">
        <f>HYPERLINK("https://www.oit.va.gov/Services/TRM/ToolPage.aspx?tid=14975^","Microsoft Azure Migrate PowerShell Script")</f>
      </c>
      <c r="B185" s="4" t="s">
        <v>5</v>
      </c>
      <c r="C185" s="9" t="s">
        <v>6</v>
      </c>
      <c r="D185" s="12" t="s">
        <v>150</v>
      </c>
    </row>
    <row r="186">
      <c r="A186" s="5">
        <f>HYPERLINK("https://www.oit.va.gov/Services/TRM/ToolPage.aspx?tid=6526^","Microsoft Biztalk Server")</f>
      </c>
      <c r="B186" s="4" t="s">
        <v>5</v>
      </c>
      <c r="C186" s="9" t="s">
        <v>6</v>
      </c>
      <c r="D186" s="12" t="s">
        <v>66</v>
      </c>
    </row>
    <row r="187">
      <c r="A187" s="5">
        <f>HYPERLINK("https://www.oit.va.gov/Services/TRM/ToolPage.aspx?tid=16764^","Microsoft Copilot")</f>
      </c>
      <c r="B187" s="4" t="s">
        <v>5</v>
      </c>
      <c r="C187" s="9" t="s">
        <v>6</v>
      </c>
      <c r="D187" s="12" t="s">
        <v>196</v>
      </c>
    </row>
    <row r="188">
      <c r="A188" s="5">
        <f>HYPERLINK("https://www.oit.va.gov/Services/TRM/ToolPage.aspx?tid=11791^","Microsoft Dictate")</f>
      </c>
      <c r="B188" s="4" t="s">
        <v>5</v>
      </c>
      <c r="C188" s="9" t="s">
        <v>6</v>
      </c>
      <c r="D188" s="12" t="s">
        <v>197</v>
      </c>
    </row>
    <row r="189">
      <c r="A189" s="5">
        <f>HYPERLINK("https://www.oit.va.gov/Services/TRM/ToolPage.aspx?tid=6508^","Microsoft Silverlight Plug-in")</f>
      </c>
      <c r="B189" s="4" t="s">
        <v>5</v>
      </c>
      <c r="C189" s="9" t="s">
        <v>6</v>
      </c>
      <c r="D189" s="12" t="s">
        <v>198</v>
      </c>
    </row>
    <row r="190">
      <c r="A190" s="5">
        <f>HYPERLINK("https://www.oit.va.gov/Services/TRM/ToolPage.aspx?tid=14555^","Microsoft System Center Update Publisher (SCUP)")</f>
      </c>
      <c r="B190" s="4" t="s">
        <v>5</v>
      </c>
      <c r="C190" s="9" t="s">
        <v>6</v>
      </c>
      <c r="D190" s="12" t="s">
        <v>199</v>
      </c>
    </row>
    <row r="191">
      <c r="A191" s="5">
        <f>HYPERLINK("https://www.oit.va.gov/Services/TRM/ToolPage.aspx?tid=13724^","Microsoft Windows Application Program Interface (API) Code Pack")</f>
      </c>
      <c r="B191" s="4" t="s">
        <v>5</v>
      </c>
      <c r="C191" s="9" t="s">
        <v>6</v>
      </c>
      <c r="D191" s="12" t="s">
        <v>200</v>
      </c>
    </row>
    <row r="192">
      <c r="A192" s="5">
        <f>HYPERLINK("https://www.oit.va.gov/Services/TRM/ToolPage.aspx?tid=16151^","MicrosoftPowerBIMgmt")</f>
      </c>
      <c r="B192" s="4" t="s">
        <v>5</v>
      </c>
      <c r="C192" s="9" t="s">
        <v>6</v>
      </c>
      <c r="D192" s="12" t="s">
        <v>201</v>
      </c>
    </row>
    <row r="193">
      <c r="A193" s="5">
        <f>HYPERLINK("https://www.oit.va.gov/Services/TRM/ToolPage.aspx?tid=15680^","OpsHub Migrator for Microsoft Azure DevOps")</f>
      </c>
      <c r="B193" s="4" t="s">
        <v>202</v>
      </c>
      <c r="C193" s="9" t="s">
        <v>6</v>
      </c>
      <c r="D193" s="12" t="s">
        <v>203</v>
      </c>
    </row>
    <row r="194">
      <c r="A194" s="5">
        <f>HYPERLINK("https://www.oit.va.gov/Services/TRM/ToolPage.aspx?tid=7087^","Power Pivot for Microsoft Excel")</f>
      </c>
      <c r="B194" s="4" t="s">
        <v>5</v>
      </c>
      <c r="C194" s="9" t="s">
        <v>6</v>
      </c>
      <c r="D194" s="12" t="s">
        <v>204</v>
      </c>
    </row>
    <row r="195">
      <c r="A195" s="5">
        <f>HYPERLINK("https://www.oit.va.gov/Services/TRM/ToolPage.aspx?tid=10277^","SAP Crystal Reports, developer version for Visual Studio")</f>
      </c>
      <c r="B195" s="4" t="s">
        <v>205</v>
      </c>
      <c r="C195" s="9" t="s">
        <v>6</v>
      </c>
      <c r="D195" s="12" t="s">
        <v>206</v>
      </c>
    </row>
    <row r="196">
      <c r="A196" s="5">
        <f>HYPERLINK("https://www.oit.va.gov/Services/TRM/ToolPage.aspx?tid=16344^","Adobe Acrobat for Microsoft Teams")</f>
      </c>
      <c r="B196" s="4" t="s">
        <v>110</v>
      </c>
      <c r="C196" s="9" t="s">
        <v>6</v>
      </c>
      <c r="D196" s="12" t="s">
        <v>207</v>
      </c>
    </row>
    <row r="197">
      <c r="A197" s="5">
        <f>HYPERLINK("https://www.oit.va.gov/Services/TRM/ToolPage.aspx?tid=9478^","Baha Fitting Software (BFS)")</f>
      </c>
      <c r="B197" s="4" t="s">
        <v>208</v>
      </c>
      <c r="C197" s="9" t="s">
        <v>6</v>
      </c>
      <c r="D197" s="12" t="s">
        <v>209</v>
      </c>
    </row>
    <row r="198">
      <c r="A198" s="5">
        <f>HYPERLINK("https://www.oit.va.gov/Services/TRM/ToolPage.aspx?tid=8025^","Business Intelligence (BI) Developer Extensions")</f>
      </c>
      <c r="B198" s="4" t="s">
        <v>5</v>
      </c>
      <c r="C198" s="9" t="s">
        <v>6</v>
      </c>
      <c r="D198" s="12" t="s">
        <v>210</v>
      </c>
    </row>
    <row r="199">
      <c r="A199" s="5">
        <f>HYPERLINK("https://www.oit.va.gov/Services/TRM/ToolPage.aspx?tid=10584^","Frontpage Server Extensions")</f>
      </c>
      <c r="B199" s="4" t="s">
        <v>5</v>
      </c>
      <c r="C199" s="9" t="s">
        <v>6</v>
      </c>
      <c r="D199" s="12" t="s">
        <v>211</v>
      </c>
    </row>
    <row r="200">
      <c r="A200" s="5">
        <f>HYPERLINK("https://www.oit.va.gov/Services/TRM/ToolPage.aspx?tid=16647^","Internet Explorer (IE) Tab Microsoft Edge Add-on")</f>
      </c>
      <c r="B200" s="4" t="s">
        <v>212</v>
      </c>
      <c r="C200" s="9" t="s">
        <v>6</v>
      </c>
      <c r="D200" s="12" t="s">
        <v>213</v>
      </c>
    </row>
    <row r="201">
      <c r="A201" s="5">
        <f>HYPERLINK("https://www.oit.va.gov/Services/TRM/ToolPage.aspx?tid=11053^","Microsoft Azure Site Recovery Deployment Planner for VMware")</f>
      </c>
      <c r="B201" s="4" t="s">
        <v>5</v>
      </c>
      <c r="C201" s="9" t="s">
        <v>6</v>
      </c>
      <c r="D201" s="12" t="s">
        <v>214</v>
      </c>
    </row>
    <row r="202">
      <c r="A202" s="5">
        <f>HYPERLINK("https://www.oit.va.gov/Services/TRM/ToolPage.aspx?tid=6077^","NetWorker")</f>
      </c>
      <c r="B202" s="4" t="s">
        <v>185</v>
      </c>
      <c r="C202" s="9" t="s">
        <v>6</v>
      </c>
      <c r="D202" s="12" t="s">
        <v>215</v>
      </c>
    </row>
    <row r="203">
      <c r="A203" s="5">
        <f>HYPERLINK("https://www.oit.va.gov/Services/TRM/ToolPage.aspx?tid=11413^","Onetastic for Microsoft OneNote")</f>
      </c>
      <c r="B203" s="4" t="s">
        <v>216</v>
      </c>
      <c r="C203" s="9" t="s">
        <v>6</v>
      </c>
      <c r="D203" s="12" t="s">
        <v>217</v>
      </c>
    </row>
    <row r="204">
      <c r="A204" s="5">
        <f>HYPERLINK("https://www.oit.va.gov/Services/TRM/ToolPage.aspx?tid=15075^","Page Diagnostics for SharePoint")</f>
      </c>
      <c r="B204" s="4" t="s">
        <v>5</v>
      </c>
      <c r="C204" s="9" t="s">
        <v>6</v>
      </c>
      <c r="D204" s="12" t="s">
        <v>218</v>
      </c>
    </row>
    <row r="205">
      <c r="A205" s="5">
        <f>HYPERLINK("https://www.oit.va.gov/Services/TRM/ToolPage.aspx?tid=15088^","Spreadsheet Compare")</f>
      </c>
      <c r="B205" s="4" t="s">
        <v>5</v>
      </c>
      <c r="C205" s="9" t="s">
        <v>6</v>
      </c>
      <c r="D205" s="12" t="s">
        <v>219</v>
      </c>
    </row>
    <row r="206">
      <c r="A206" s="5">
        <f>HYPERLINK("https://www.oit.va.gov/Services/TRM/ToolPage.aspx?tid=11442^","System Center Virtual Machine Manager (SCVMM)")</f>
      </c>
      <c r="B206" s="4" t="s">
        <v>5</v>
      </c>
      <c r="C206" s="9" t="s">
        <v>6</v>
      </c>
      <c r="D206" s="12" t="s">
        <v>220</v>
      </c>
    </row>
    <row r="207">
      <c r="A207" s="5">
        <f>HYPERLINK("https://www.oit.va.gov/Services/TRM/ToolPage.aspx?tid=11765^","Unified Service Desk")</f>
      </c>
      <c r="B207" s="4" t="s">
        <v>5</v>
      </c>
      <c r="C207" s="9" t="s">
        <v>6</v>
      </c>
      <c r="D207" s="12" t="s">
        <v>221</v>
      </c>
    </row>
    <row r="208">
      <c r="A208" s="5">
        <f>HYPERLINK("https://www.oit.va.gov/Services/TRM/ToolPage.aspx?tid=11109^","Web Farm Framework (WFF)")</f>
      </c>
      <c r="B208" s="4" t="s">
        <v>5</v>
      </c>
      <c r="C208" s="9" t="s">
        <v>6</v>
      </c>
      <c r="D208" s="12" t="s">
        <v>222</v>
      </c>
    </row>
    <row r="209">
      <c r="A209" s="5">
        <f>HYPERLINK("https://www.oit.va.gov/Services/TRM/ToolPage.aspx?tid=11446^","WebMatrix")</f>
      </c>
      <c r="B209" s="4" t="s">
        <v>5</v>
      </c>
      <c r="C209" s="9" t="s">
        <v>6</v>
      </c>
      <c r="D209" s="12" t="s">
        <v>223</v>
      </c>
    </row>
    <row r="210">
      <c r="A210" s="5">
        <f>HYPERLINK("https://www.oit.va.gov/Services/TRM/ToolPage.aspx?tid=15883^","Bot Framework Software Development Kit (SDK) for JavaScript")</f>
      </c>
      <c r="B210" s="4" t="s">
        <v>5</v>
      </c>
      <c r="C210" s="9" t="s">
        <v>6</v>
      </c>
      <c r="D210" s="12" t="s">
        <v>224</v>
      </c>
    </row>
    <row r="211">
      <c r="A211" s="5">
        <f>HYPERLINK("https://www.oit.va.gov/Services/TRM/ToolPage.aspx?tid=9961^","PowerShell")</f>
      </c>
      <c r="B211" s="4" t="s">
        <v>5</v>
      </c>
      <c r="C211" s="9" t="s">
        <v>6</v>
      </c>
      <c r="D211" s="12" t="s">
        <v>225</v>
      </c>
    </row>
    <row r="212">
      <c r="A212" s="5">
        <f>HYPERLINK("https://www.oit.va.gov/Services/TRM/StandardPage.aspx?tid=7668^","Windows New Technology Local Area Network Manager (NTLM)")</f>
      </c>
      <c r="B212" s="4" t="s">
        <v>5</v>
      </c>
      <c r="C212" s="9" t="s">
        <v>6</v>
      </c>
      <c r="D212" s="12" t="s">
        <v>226</v>
      </c>
    </row>
    <row r="213">
      <c r="A213" s="5">
        <f>HYPERLINK("https://www.oit.va.gov/Services/TRM/ToolPage.aspx?tid=11247^","Adobe Connect Add-in for Microsoft Outlook")</f>
      </c>
      <c r="B213" s="4" t="s">
        <v>110</v>
      </c>
      <c r="C213" s="9" t="s">
        <v>6</v>
      </c>
      <c r="D213" s="12" t="s">
        <v>227</v>
      </c>
    </row>
    <row r="214">
      <c r="A214" s="5">
        <f>HYPERLINK("https://www.oit.va.gov/Services/TRM/ToolPage.aspx?tid=9604^","Application Request Routing (ARR)")</f>
      </c>
      <c r="B214" s="4" t="s">
        <v>5</v>
      </c>
      <c r="C214" s="9" t="s">
        <v>6</v>
      </c>
      <c r="D214" s="12" t="s">
        <v>228</v>
      </c>
    </row>
    <row r="215">
      <c r="A215" s="5">
        <f>HYPERLINK("https://www.oit.va.gov/Services/TRM/ToolPage.aspx?tid=11628^","Avery Wizard for Microsoft Office")</f>
      </c>
      <c r="B215" s="4" t="s">
        <v>229</v>
      </c>
      <c r="C215" s="9" t="s">
        <v>6</v>
      </c>
      <c r="D215" s="12" t="s">
        <v>230</v>
      </c>
    </row>
    <row r="216">
      <c r="A216" s="5">
        <f>HYPERLINK("https://www.oit.va.gov/Services/TRM/ToolPage.aspx?tid=13324^","Combine Rows Wizard for Microsoft Excel")</f>
      </c>
      <c r="B216" s="4" t="s">
        <v>231</v>
      </c>
      <c r="C216" s="9" t="s">
        <v>6</v>
      </c>
      <c r="D216" s="12" t="s">
        <v>232</v>
      </c>
    </row>
    <row r="217">
      <c r="A217" s="5">
        <f>HYPERLINK("https://www.oit.va.gov/Services/TRM/ToolPage.aspx?tid=6851^","FileNet Connector for Microsoft Visio")</f>
      </c>
      <c r="B217" s="4" t="s">
        <v>233</v>
      </c>
      <c r="C217" s="9" t="s">
        <v>6</v>
      </c>
      <c r="D217" s="12" t="s">
        <v>234</v>
      </c>
    </row>
    <row r="218">
      <c r="A218" s="5">
        <f>HYPERLINK("https://www.oit.va.gov/Services/TRM/ToolPage.aspx?tid=8596^","Intra Enterprise")</f>
      </c>
      <c r="B218" s="4" t="s">
        <v>235</v>
      </c>
      <c r="C218" s="9" t="s">
        <v>6</v>
      </c>
      <c r="D218" s="12" t="s">
        <v>236</v>
      </c>
    </row>
    <row r="219">
      <c r="A219" s="5">
        <f>HYPERLINK("https://www.oit.va.gov/Services/TRM/ToolPage.aspx?tid=7610^","MasterControl Microsoft Word Integration")</f>
      </c>
      <c r="B219" s="4" t="s">
        <v>237</v>
      </c>
      <c r="C219" s="9" t="s">
        <v>6</v>
      </c>
      <c r="D219" s="12" t="s">
        <v>238</v>
      </c>
    </row>
    <row r="220">
      <c r="A220" s="5">
        <f>HYPERLINK("https://www.oit.va.gov/Services/TRM/ToolPage.aspx?tid=14540^","Microsoft Project Add-In")</f>
      </c>
      <c r="B220" s="4" t="s">
        <v>239</v>
      </c>
      <c r="C220" s="9" t="s">
        <v>6</v>
      </c>
      <c r="D220" s="12" t="s">
        <v>240</v>
      </c>
    </row>
    <row r="221">
      <c r="A221" s="5">
        <f>HYPERLINK("https://www.oit.va.gov/Services/TRM/ToolPage.aspx?tid=8186^","Telerik Reporting")</f>
      </c>
      <c r="B221" s="4" t="s">
        <v>241</v>
      </c>
      <c r="C221" s="9" t="s">
        <v>6</v>
      </c>
      <c r="D221" s="12" t="s">
        <v>242</v>
      </c>
    </row>
    <row r="222">
      <c r="A222" s="5">
        <f>HYPERLINK("https://www.oit.va.gov/Services/TRM/ToolPage.aspx?tid=15703^","The Connector - Microsoft Project to Atlassian Jira Integration")</f>
      </c>
      <c r="B222" s="4" t="s">
        <v>243</v>
      </c>
      <c r="C222" s="9" t="s">
        <v>6</v>
      </c>
      <c r="D222" s="12" t="s">
        <v>244</v>
      </c>
    </row>
    <row r="223">
      <c r="A223" s="5">
        <f>HYPERLINK("https://www.oit.va.gov/Services/TRM/ToolPage.aspx?tid=13725^","Trim Spaces for Microsoft Excel")</f>
      </c>
      <c r="B223" s="4" t="s">
        <v>231</v>
      </c>
      <c r="C223" s="9" t="s">
        <v>6</v>
      </c>
      <c r="D223" s="12" t="s">
        <v>245</v>
      </c>
    </row>
    <row r="224">
      <c r="A224" s="5">
        <f>HYPERLINK("https://www.oit.va.gov/Services/TRM/ToolPage.aspx?tid=15797^","Active Server Pages (ASP) .NET Model-View-Controller (MVC)")</f>
      </c>
      <c r="B224" s="4" t="s">
        <v>5</v>
      </c>
      <c r="C224" s="9" t="s">
        <v>6</v>
      </c>
      <c r="D224" s="12" t="s">
        <v>246</v>
      </c>
    </row>
    <row r="225">
      <c r="A225" s="5">
        <f>HYPERLINK("https://www.oit.va.gov/Services/TRM/ToolPage.aspx?tid=13702^","ContactGenie Toolkit")</f>
      </c>
      <c r="B225" s="4" t="s">
        <v>247</v>
      </c>
      <c r="C225" s="9" t="s">
        <v>6</v>
      </c>
      <c r="D225" s="12" t="s">
        <v>248</v>
      </c>
    </row>
    <row r="226">
      <c r="A226" s="5">
        <f>HYPERLINK("https://www.oit.va.gov/Services/TRM/ToolPage.aspx?tid=10423^","Debugging Tools for Windows (WinDbg)")</f>
      </c>
      <c r="B226" s="4" t="s">
        <v>5</v>
      </c>
      <c r="C226" s="9" t="s">
        <v>6</v>
      </c>
      <c r="D226" s="12" t="s">
        <v>249</v>
      </c>
    </row>
    <row r="227">
      <c r="A227" s="5">
        <f>HYPERLINK("https://www.oit.va.gov/Services/TRM/ToolPage.aspx?tid=13245^","Microsoft Azure Platform AppFabric")</f>
      </c>
      <c r="B227" s="4" t="s">
        <v>5</v>
      </c>
      <c r="C227" s="9" t="s">
        <v>6</v>
      </c>
      <c r="D227" s="12" t="s">
        <v>250</v>
      </c>
    </row>
    <row r="228">
      <c r="A228" s="5">
        <f>HYPERLINK("https://www.oit.va.gov/Services/TRM/ToolPage.aspx?tid=10108^","Windows Mail")</f>
      </c>
      <c r="B228" s="4" t="s">
        <v>5</v>
      </c>
      <c r="C228" s="9" t="s">
        <v>6</v>
      </c>
      <c r="D228" s="12" t="s">
        <v>251</v>
      </c>
    </row>
    <row r="229">
      <c r="A229" s="5">
        <f>HYPERLINK("https://www.oit.va.gov/Services/TRM/ToolPage.aspx?tid=15893^","AdaptiveCards")</f>
      </c>
      <c r="B229" s="4" t="s">
        <v>5</v>
      </c>
      <c r="C229" s="9" t="s">
        <v>6</v>
      </c>
      <c r="D229" s="12" t="s">
        <v>252</v>
      </c>
    </row>
    <row r="230">
      <c r="A230" s="5">
        <f>HYPERLINK("https://www.oit.va.gov/Services/TRM/ToolPage.aspx?tid=8584^","Autocene")</f>
      </c>
      <c r="B230" s="4" t="s">
        <v>253</v>
      </c>
      <c r="C230" s="9" t="s">
        <v>6</v>
      </c>
      <c r="D230" s="12" t="s">
        <v>254</v>
      </c>
    </row>
    <row r="231">
      <c r="A231" s="5">
        <f>HYPERLINK("https://www.oit.va.gov/Services/TRM/ToolPage.aspx?tid=15955^","Azure Virtual Machine (VM) Agent")</f>
      </c>
      <c r="B231" s="4" t="s">
        <v>5</v>
      </c>
      <c r="C231" s="9" t="s">
        <v>6</v>
      </c>
      <c r="D231" s="12" t="s">
        <v>255</v>
      </c>
    </row>
    <row r="232">
      <c r="A232" s="5">
        <f>HYPERLINK("https://www.oit.va.gov/Services/TRM/ToolPage.aspx?tid=5915^","Collaboration Data Objects (CDO)")</f>
      </c>
      <c r="B232" s="4" t="s">
        <v>5</v>
      </c>
      <c r="C232" s="9" t="s">
        <v>6</v>
      </c>
      <c r="D232" s="12" t="s">
        <v>256</v>
      </c>
    </row>
    <row r="233">
      <c r="A233" s="5">
        <f>HYPERLINK("https://www.oit.va.gov/Services/TRM/ToolPage.aspx?tid=10234^","Expression Blend Software Development Kit (SDK) 4")</f>
      </c>
      <c r="B233" s="4" t="s">
        <v>5</v>
      </c>
      <c r="C233" s="9" t="s">
        <v>6</v>
      </c>
      <c r="D233" s="12" t="s">
        <v>257</v>
      </c>
    </row>
    <row r="234">
      <c r="A234" s="5">
        <f>HYPERLINK("https://www.oit.va.gov/Services/TRM/ToolPage.aspx?tid=10535^","File Transfer Manager")</f>
      </c>
      <c r="B234" s="4" t="s">
        <v>5</v>
      </c>
      <c r="C234" s="9" t="s">
        <v>6</v>
      </c>
      <c r="D234" s="12" t="s">
        <v>258</v>
      </c>
    </row>
    <row r="235">
      <c r="A235" s="5">
        <f>HYPERLINK("https://www.oit.va.gov/Services/TRM/ToolPage.aspx?tid=15904^","Fuzzy Lookup Add-In for Excel")</f>
      </c>
      <c r="B235" s="4" t="s">
        <v>5</v>
      </c>
      <c r="C235" s="9" t="s">
        <v>6</v>
      </c>
      <c r="D235" s="12" t="s">
        <v>259</v>
      </c>
    </row>
    <row r="236">
      <c r="A236" s="5">
        <f>HYPERLINK("https://www.oit.va.gov/Services/TRM/ToolPage.aspx?tid=6593^","FxCop")</f>
      </c>
      <c r="B236" s="4" t="s">
        <v>5</v>
      </c>
      <c r="C236" s="9" t="s">
        <v>6</v>
      </c>
      <c r="D236" s="12" t="s">
        <v>260</v>
      </c>
    </row>
    <row r="237">
      <c r="A237" s="5">
        <f>HYPERLINK("https://www.oit.va.gov/Services/TRM/ToolPage.aspx?tid=8791^","Gem for Microsoft OneNote")</f>
      </c>
      <c r="B237" s="4" t="s">
        <v>261</v>
      </c>
      <c r="C237" s="9" t="s">
        <v>6</v>
      </c>
      <c r="D237" s="12" t="s">
        <v>262</v>
      </c>
    </row>
    <row r="238">
      <c r="A238" s="5">
        <f>HYPERLINK("https://www.oit.va.gov/Services/TRM/ToolPage.aspx?tid=7782^","Hyper-V Server (Stand-alone Edition)")</f>
      </c>
      <c r="B238" s="4" t="s">
        <v>5</v>
      </c>
      <c r="C238" s="9" t="s">
        <v>6</v>
      </c>
      <c r="D238" s="12" t="s">
        <v>263</v>
      </c>
    </row>
    <row r="239">
      <c r="A239" s="5">
        <f>HYPERLINK("https://www.oit.va.gov/Services/TRM/ToolPage.aspx?tid=15118^","NetApp PowerShell Toolkit")</f>
      </c>
      <c r="B239" s="4" t="s">
        <v>5</v>
      </c>
      <c r="C239" s="9" t="s">
        <v>6</v>
      </c>
      <c r="D239" s="12" t="s">
        <v>264</v>
      </c>
    </row>
    <row r="240">
      <c r="A240" s="5">
        <f>HYPERLINK("https://www.oit.va.gov/Services/TRM/ToolPage.aspx?tid=5688^","PerformancePoint Server")</f>
      </c>
      <c r="B240" s="4" t="s">
        <v>5</v>
      </c>
      <c r="C240" s="9" t="s">
        <v>6</v>
      </c>
      <c r="D240" s="12" t="s">
        <v>265</v>
      </c>
    </row>
    <row r="241">
      <c r="A241" s="5">
        <f>HYPERLINK("https://www.oit.va.gov/Services/TRM/ToolPage.aspx?tid=6098^","Portable Document Format (PDF)-XChange")</f>
      </c>
      <c r="B241" s="4" t="s">
        <v>266</v>
      </c>
      <c r="C241" s="9" t="s">
        <v>6</v>
      </c>
      <c r="D241" s="12" t="s">
        <v>267</v>
      </c>
    </row>
    <row r="242">
      <c r="A242" s="5">
        <f>HYPERLINK("https://www.oit.va.gov/Services/TRM/ToolPage.aspx?tid=8714^","PuTTY-CAC (Common Access Card)")</f>
      </c>
      <c r="B242" s="4" t="s">
        <v>268</v>
      </c>
      <c r="C242" s="9" t="s">
        <v>6</v>
      </c>
      <c r="D242" s="12" t="s">
        <v>269</v>
      </c>
    </row>
    <row r="243">
      <c r="A243" s="5">
        <f>HYPERLINK("https://www.oit.va.gov/Services/TRM/ToolPage.aspx?tid=10855^","R Tools for Visual Studio (RTVS)")</f>
      </c>
      <c r="B243" s="4" t="s">
        <v>5</v>
      </c>
      <c r="C243" s="9" t="s">
        <v>6</v>
      </c>
      <c r="D243" s="12" t="s">
        <v>270</v>
      </c>
    </row>
    <row r="244">
      <c r="A244" s="5">
        <f>HYPERLINK("https://www.oit.va.gov/Services/TRM/ToolPage.aspx?tid=10162^","ShareEnum")</f>
      </c>
      <c r="B244" s="4" t="s">
        <v>5</v>
      </c>
      <c r="C244" s="9" t="s">
        <v>6</v>
      </c>
      <c r="D244" s="12" t="s">
        <v>227</v>
      </c>
    </row>
    <row r="245">
      <c r="A245" s="5">
        <f>HYPERLINK("https://www.oit.va.gov/Services/TRM/ToolPage.aspx?tid=15305^","Snip")</f>
      </c>
      <c r="B245" s="4" t="s">
        <v>5</v>
      </c>
      <c r="C245" s="9" t="s">
        <v>6</v>
      </c>
      <c r="D245" s="12" t="s">
        <v>271</v>
      </c>
    </row>
    <row r="246">
      <c r="A246" s="5">
        <f>HYPERLINK("https://www.oit.va.gov/Services/TRM/ToolPage.aspx?tid=7254^","Spectrum Protect for Databases")</f>
      </c>
      <c r="B246" s="4" t="s">
        <v>233</v>
      </c>
      <c r="C246" s="9" t="s">
        <v>6</v>
      </c>
      <c r="D246" s="12" t="s">
        <v>272</v>
      </c>
    </row>
    <row r="247">
      <c r="A247" s="5">
        <f>HYPERLINK("https://www.oit.va.gov/Services/TRM/ToolPage.aspx?tid=7279^","Spectrum Protect for Mail")</f>
      </c>
      <c r="B247" s="4" t="s">
        <v>233</v>
      </c>
      <c r="C247" s="9" t="s">
        <v>6</v>
      </c>
      <c r="D247" s="12" t="s">
        <v>273</v>
      </c>
    </row>
    <row r="248">
      <c r="A248" s="5">
        <f>HYPERLINK("https://www.oit.va.gov/Services/TRM/ToolPage.aspx?tid=13306^","Ultimate Suite for Excel")</f>
      </c>
      <c r="B248" s="4" t="s">
        <v>274</v>
      </c>
      <c r="C248" s="9" t="s">
        <v>6</v>
      </c>
      <c r="D248" s="12" t="s">
        <v>275</v>
      </c>
    </row>
    <row r="249">
      <c r="A249" s="5">
        <f>HYPERLINK("https://www.oit.va.gov/Services/TRM/ToolPage.aspx?tid=10900^","Visual FoxPro")</f>
      </c>
      <c r="B249" s="4" t="s">
        <v>5</v>
      </c>
      <c r="C249" s="9" t="s">
        <v>6</v>
      </c>
      <c r="D249" s="12" t="s">
        <v>276</v>
      </c>
    </row>
    <row r="250">
      <c r="A250" s="5">
        <f>HYPERLINK("https://www.oit.va.gov/Services/TRM/ToolPage.aspx?tid=12851^","Visual Studio Runtime")</f>
      </c>
      <c r="B250" s="4" t="s">
        <v>5</v>
      </c>
      <c r="C250" s="9" t="s">
        <v>6</v>
      </c>
      <c r="D250" s="12" t="s">
        <v>277</v>
      </c>
    </row>
    <row r="251">
      <c r="A251" s="5">
        <f>HYPERLINK("https://www.oit.va.gov/Services/TRM/ToolPage.aspx?tid=7034^","Web Services Enhancements (WSE)")</f>
      </c>
      <c r="B251" s="4" t="s">
        <v>5</v>
      </c>
      <c r="C251" s="9" t="s">
        <v>6</v>
      </c>
      <c r="D251" s="12" t="s">
        <v>278</v>
      </c>
    </row>
    <row r="252">
      <c r="A252" s="5">
        <f>HYPERLINK("https://www.oit.va.gov/Services/TRM/ToolPage.aspx?tid=10668^","Windows Communication Foundation (WCF) Rich Internet Application (RIA) Services")</f>
      </c>
      <c r="B252" s="4" t="s">
        <v>5</v>
      </c>
      <c r="C252" s="9" t="s">
        <v>6</v>
      </c>
      <c r="D252" s="12" t="s">
        <v>279</v>
      </c>
    </row>
    <row r="253">
      <c r="A253" s="5">
        <f>HYPERLINK("https://www.oit.va.gov/Services/TRM/ToolPage.aspx?tid=13951^","Windows Driver Kit (WDK)")</f>
      </c>
      <c r="B253" s="4" t="s">
        <v>5</v>
      </c>
      <c r="C253" s="9" t="s">
        <v>6</v>
      </c>
      <c r="D253" s="12" t="s">
        <v>280</v>
      </c>
    </row>
    <row r="254">
      <c r="A254" s="5">
        <f>HYPERLINK("https://www.oit.va.gov/Services/TRM/ToolPage.aspx?tid=10297^","Windows Mobile 5.0 Software Development Kit (SDK) for Pocket Personal Computer (PC)")</f>
      </c>
      <c r="B254" s="4" t="s">
        <v>5</v>
      </c>
      <c r="C254" s="9" t="s">
        <v>6</v>
      </c>
      <c r="D254" s="12" t="s">
        <v>281</v>
      </c>
    </row>
    <row r="255">
      <c r="A255" s="5">
        <f>HYPERLINK("https://www.oit.va.gov/Services/TRM/ToolPage.aspx?tid=10042^","Windows Script Host (WSH)")</f>
      </c>
      <c r="B255" s="4" t="s">
        <v>5</v>
      </c>
      <c r="C255" s="9" t="s">
        <v>6</v>
      </c>
      <c r="D255" s="12" t="s">
        <v>282</v>
      </c>
    </row>
    <row r="256">
      <c r="A256" s="5">
        <f>HYPERLINK("https://www.oit.va.gov/Services/TRM/ToolPage.aspx?tid=15864^","XRM Toolkit")</f>
      </c>
      <c r="B256" s="4" t="s">
        <v>5</v>
      </c>
      <c r="C256" s="9" t="s">
        <v>6</v>
      </c>
      <c r="D256" s="12" t="s">
        <v>283</v>
      </c>
    </row>
    <row r="257">
      <c r="A257" s="5">
        <f>HYPERLINK("https://www.oit.va.gov/Services/TRM/ToolPage.aspx?tid=7874^","Active Server Pages (ASP).NET Core")</f>
      </c>
      <c r="B257" s="4" t="s">
        <v>5</v>
      </c>
      <c r="C257" s="9" t="s">
        <v>6</v>
      </c>
      <c r="D257" s="12" t="s">
        <v>284</v>
      </c>
    </row>
    <row r="258">
      <c r="A258" s="5">
        <f>HYPERLINK("https://www.oit.va.gov/Services/TRM/ToolPage.aspx?tid=15556^","Analyze in Excel")</f>
      </c>
      <c r="B258" s="4" t="s">
        <v>5</v>
      </c>
      <c r="C258" s="9" t="s">
        <v>6</v>
      </c>
      <c r="D258" s="12" t="s">
        <v>285</v>
      </c>
    </row>
    <row r="259">
      <c r="A259" s="5">
        <f>HYPERLINK("https://www.oit.va.gov/Services/TRM/ToolPage.aspx?tid=5105^","Bing Maps Application Program Interface (API)")</f>
      </c>
      <c r="B259" s="4" t="s">
        <v>5</v>
      </c>
      <c r="C259" s="9" t="s">
        <v>6</v>
      </c>
      <c r="D259" s="12" t="s">
        <v>286</v>
      </c>
    </row>
    <row r="260">
      <c r="A260" s="5">
        <f>HYPERLINK("https://www.oit.va.gov/Services/TRM/ToolPage.aspx?tid=6665^","FactFinder")</f>
      </c>
      <c r="B260" s="4" t="s">
        <v>5</v>
      </c>
      <c r="C260" s="9" t="s">
        <v>6</v>
      </c>
      <c r="D260" s="12" t="s">
        <v>287</v>
      </c>
    </row>
    <row r="261">
      <c r="A261" s="5">
        <f>HYPERLINK("https://www.oit.va.gov/Services/TRM/ToolPage.aspx?tid=13828^","Geographic Heat Map Excel Add-in")</f>
      </c>
      <c r="B261" s="4" t="s">
        <v>5</v>
      </c>
      <c r="C261" s="9" t="s">
        <v>6</v>
      </c>
      <c r="D261" s="12" t="s">
        <v>288</v>
      </c>
    </row>
    <row r="262">
      <c r="A262" s="5">
        <f>HYPERLINK("https://www.oit.va.gov/Services/TRM/ToolPage.aspx?tid=15100^","Microsoft Outlook Mail Merge Toolkit")</f>
      </c>
      <c r="B262" s="4" t="s">
        <v>289</v>
      </c>
      <c r="C262" s="9" t="s">
        <v>6</v>
      </c>
      <c r="D262" s="12" t="s">
        <v>196</v>
      </c>
    </row>
    <row r="263">
      <c r="A263" s="5">
        <f>HYPERLINK("https://www.oit.va.gov/Services/TRM/ToolPage.aspx?tid=8631^","Remote Desktop Connection Manager (RDCMan)")</f>
      </c>
      <c r="B263" s="4" t="s">
        <v>5</v>
      </c>
      <c r="C263" s="9" t="s">
        <v>6</v>
      </c>
      <c r="D263" s="12" t="s">
        <v>290</v>
      </c>
    </row>
    <row r="264">
      <c r="A264" s="5">
        <f>HYPERLINK("https://www.oit.va.gov/Services/TRM/StandardPage.aspx?tid=5248^","Rich Text Format (RTF)")</f>
      </c>
      <c r="B264" s="4" t="s">
        <v>5</v>
      </c>
      <c r="C264" s="9" t="s">
        <v>6</v>
      </c>
      <c r="D264" s="12" t="s">
        <v>291</v>
      </c>
    </row>
    <row r="265">
      <c r="A265" s="5">
        <f>HYPERLINK("https://www.oit.va.gov/Services/TRM/ToolPage.aspx?tid=13286^","SignalR")</f>
      </c>
      <c r="B265" s="4" t="s">
        <v>5</v>
      </c>
      <c r="C265" s="9" t="s">
        <v>6</v>
      </c>
      <c r="D265" s="12" t="s">
        <v>292</v>
      </c>
    </row>
    <row r="266">
      <c r="A266" s="5">
        <f>HYPERLINK("https://www.oit.va.gov/Services/TRM/ToolPage.aspx?tid=8371^","Visual Studio (VS) Code")</f>
      </c>
      <c r="B266" s="4" t="s">
        <v>5</v>
      </c>
      <c r="C266" s="9" t="s">
        <v>6</v>
      </c>
      <c r="D266" s="12" t="s">
        <v>293</v>
      </c>
    </row>
    <row r="267">
      <c r="A267" s="5">
        <f>HYPERLINK("https://www.oit.va.gov/Services/TRM/ToolPage.aspx?tid=8317^","Document Storage Systems (DSS) LiveData PeriOp Manager")</f>
      </c>
      <c r="B267" s="4" t="s">
        <v>294</v>
      </c>
      <c r="C267" s="9" t="s">
        <v>6</v>
      </c>
      <c r="D267" s="12" t="s">
        <v>295</v>
      </c>
    </row>
    <row r="268">
      <c r="A268" s="5">
        <f>HYPERLINK("https://www.oit.va.gov/Services/TRM/ToolPage.aspx?tid=10025^","Microsoft Enhanced Mitigation Experience Toolkit (EMET)")</f>
      </c>
      <c r="B268" s="4" t="s">
        <v>5</v>
      </c>
      <c r="C268" s="9" t="s">
        <v>6</v>
      </c>
      <c r="D268" s="12" t="s">
        <v>296</v>
      </c>
    </row>
    <row r="269">
      <c r="A269" s="5">
        <f>HYPERLINK("https://www.oit.va.gov/Services/TRM/ToolPage.aspx?tid=10159^","Microsoft Structured Query Language (SQL) Server Database Publishing Wizard")</f>
      </c>
      <c r="B269" s="4" t="s">
        <v>5</v>
      </c>
      <c r="C269" s="9" t="s">
        <v>6</v>
      </c>
      <c r="D269" s="12" t="s">
        <v>251</v>
      </c>
    </row>
    <row r="270">
      <c r="A270" s="5">
        <f>HYPERLINK("https://www.oit.va.gov/Services/TRM/ToolPage.aspx?tid=16410^","RefWorks Citation Manager")</f>
      </c>
      <c r="B270" s="4" t="s">
        <v>297</v>
      </c>
      <c r="C270" s="9" t="s">
        <v>6</v>
      </c>
      <c r="D270" s="12" t="s">
        <v>298</v>
      </c>
    </row>
    <row r="271">
      <c r="A271" s="5">
        <f>HYPERLINK("https://www.oit.va.gov/Services/TRM/ToolPage.aspx?tid=11328^","Application Insights for Node.js")</f>
      </c>
      <c r="B271" s="4" t="s">
        <v>5</v>
      </c>
      <c r="C271" s="9" t="s">
        <v>6</v>
      </c>
      <c r="D271" s="12" t="s">
        <v>299</v>
      </c>
    </row>
    <row r="272">
      <c r="A272" s="5">
        <f>HYPERLINK("https://www.oit.va.gov/Services/TRM/ToolPage.aspx?tid=10396^","Extensible Markup Language (XML) Notepad")</f>
      </c>
      <c r="B272" s="4" t="s">
        <v>5</v>
      </c>
      <c r="C272" s="9" t="s">
        <v>6</v>
      </c>
      <c r="D272" s="12" t="s">
        <v>300</v>
      </c>
    </row>
    <row r="273">
      <c r="A273" s="5">
        <f>HYPERLINK("https://www.oit.va.gov/Services/TRM/StandardPage.aspx?tid=10397^","F# Runtime")</f>
      </c>
      <c r="B273" s="4" t="s">
        <v>5</v>
      </c>
      <c r="C273" s="9" t="s">
        <v>6</v>
      </c>
      <c r="D273" s="12" t="s">
        <v>301</v>
      </c>
    </row>
    <row r="274">
      <c r="A274" s="5">
        <f>HYPERLINK("https://www.oit.va.gov/Services/TRM/ToolPage.aspx?tid=15070^","Hewlett-Packard Security Manager (HPSM)")</f>
      </c>
      <c r="B274" s="4" t="s">
        <v>302</v>
      </c>
      <c r="C274" s="9" t="s">
        <v>6</v>
      </c>
      <c r="D274" s="12" t="s">
        <v>303</v>
      </c>
    </row>
    <row r="275">
      <c r="A275" s="5">
        <f>HYPERLINK("https://www.oit.va.gov/Services/TRM/ToolPage.aspx?tid=16858^","ID Maker")</f>
      </c>
      <c r="B275" s="4" t="s">
        <v>304</v>
      </c>
      <c r="C275" s="9" t="s">
        <v>6</v>
      </c>
      <c r="D275" s="12" t="s">
        <v>305</v>
      </c>
    </row>
    <row r="276">
      <c r="A276" s="5">
        <f>HYPERLINK("https://www.oit.va.gov/Services/TRM/ToolPage.aspx?tid=7272^","InMage Scout")</f>
      </c>
      <c r="B276" s="4" t="s">
        <v>5</v>
      </c>
      <c r="C276" s="9" t="s">
        <v>6</v>
      </c>
      <c r="D276" s="12" t="s">
        <v>306</v>
      </c>
    </row>
    <row r="277">
      <c r="A277" s="5">
        <f>HYPERLINK("https://www.oit.va.gov/Services/TRM/ToolPage.aspx?tid=6017^","Java Access Bridge (JAB)")</f>
      </c>
      <c r="B277" s="4" t="s">
        <v>136</v>
      </c>
      <c r="C277" s="9" t="s">
        <v>6</v>
      </c>
      <c r="D277" s="12" t="s">
        <v>307</v>
      </c>
    </row>
    <row r="278">
      <c r="A278" s="5">
        <f>HYPERLINK("https://www.oit.va.gov/Services/TRM/ToolPage.aspx?tid=13284^","Katana")</f>
      </c>
      <c r="B278" s="4" t="s">
        <v>5</v>
      </c>
      <c r="C278" s="9" t="s">
        <v>6</v>
      </c>
      <c r="D278" s="12" t="s">
        <v>308</v>
      </c>
    </row>
    <row r="279">
      <c r="A279" s="5">
        <f>HYPERLINK("https://www.oit.va.gov/Services/TRM/ToolPage.aspx?tid=6602^","Minimalist GNU for Windows (MinGW)")</f>
      </c>
      <c r="B279" s="4" t="s">
        <v>309</v>
      </c>
      <c r="C279" s="9" t="s">
        <v>6</v>
      </c>
      <c r="D279" s="12" t="s">
        <v>310</v>
      </c>
    </row>
    <row r="280">
      <c r="A280" s="5">
        <f>HYPERLINK("https://www.oit.va.gov/Services/TRM/ToolPage.aspx?tid=11324^","Netaphor SiteAudit")</f>
      </c>
      <c r="B280" s="4" t="s">
        <v>311</v>
      </c>
      <c r="C280" s="9" t="s">
        <v>6</v>
      </c>
      <c r="D280" s="12" t="s">
        <v>312</v>
      </c>
    </row>
    <row r="281">
      <c r="A281" s="5">
        <f>HYPERLINK("https://www.oit.va.gov/Services/TRM/ToolPage.aspx?tid=10871^","North52 Business Process Activities (BPA)")</f>
      </c>
      <c r="B281" s="4" t="s">
        <v>313</v>
      </c>
      <c r="C281" s="9" t="s">
        <v>6</v>
      </c>
      <c r="D281" s="12" t="s">
        <v>204</v>
      </c>
    </row>
    <row r="282">
      <c r="A282" s="5">
        <f>HYPERLINK("https://www.oit.va.gov/Services/TRM/ToolPage.aspx?tid=10322^","NuGet")</f>
      </c>
      <c r="B282" s="4" t="s">
        <v>5</v>
      </c>
      <c r="C282" s="9" t="s">
        <v>6</v>
      </c>
      <c r="D282" s="12" t="s">
        <v>176</v>
      </c>
    </row>
    <row r="283">
      <c r="A283" s="5">
        <f>HYPERLINK("https://www.oit.va.gov/Services/TRM/ToolPage.aspx?tid=10889^","PsTools")</f>
      </c>
      <c r="B283" s="4" t="s">
        <v>5</v>
      </c>
      <c r="C283" s="9" t="s">
        <v>6</v>
      </c>
      <c r="D283" s="12" t="s">
        <v>314</v>
      </c>
    </row>
    <row r="284">
      <c r="A284" s="5">
        <f>HYPERLINK("https://www.oit.va.gov/Services/TRM/ToolPage.aspx?tid=9870^","Spectrum Technology Platform")</f>
      </c>
      <c r="B284" s="4" t="s">
        <v>315</v>
      </c>
      <c r="C284" s="9" t="s">
        <v>6</v>
      </c>
      <c r="D284" s="12" t="s">
        <v>316</v>
      </c>
    </row>
    <row r="285">
      <c r="A285" s="5">
        <f>HYPERLINK("https://www.oit.va.gov/Services/TRM/ToolPage.aspx?tid=6217^","Statistical Analysis Software (SAS)/ACCESS")</f>
      </c>
      <c r="B285" s="4" t="s">
        <v>183</v>
      </c>
      <c r="C285" s="9" t="s">
        <v>6</v>
      </c>
      <c r="D285" s="12" t="s">
        <v>317</v>
      </c>
    </row>
    <row r="286">
      <c r="A286" s="5">
        <f>HYPERLINK("https://www.oit.va.gov/Services/TRM/ToolPage.aspx?tid=12966^","Tracer Ensemble")</f>
      </c>
      <c r="B286" s="4" t="s">
        <v>318</v>
      </c>
      <c r="C286" s="9" t="s">
        <v>6</v>
      </c>
      <c r="D286" s="12" t="s">
        <v>319</v>
      </c>
    </row>
    <row r="287">
      <c r="A287" s="5">
        <f>HYPERLINK("https://www.oit.va.gov/Services/TRM/ToolPage.aspx?tid=11445^","Visual Studio Extensibility Tools")</f>
      </c>
      <c r="B287" s="4" t="s">
        <v>320</v>
      </c>
      <c r="C287" s="9" t="s">
        <v>6</v>
      </c>
      <c r="D287" s="12" t="s">
        <v>321</v>
      </c>
    </row>
    <row r="288">
      <c r="A288" s="5">
        <f>HYPERLINK("https://www.oit.va.gov/Services/TRM/ToolPage.aspx?tid=13666^","3Dconnexion Collage")</f>
      </c>
      <c r="B288" s="4" t="s">
        <v>322</v>
      </c>
      <c r="C288" s="9" t="s">
        <v>6</v>
      </c>
      <c r="D288" s="12" t="s">
        <v>323</v>
      </c>
    </row>
    <row r="289">
      <c r="A289" s="5">
        <f>HYPERLINK("https://www.oit.va.gov/Services/TRM/ToolPage.aspx?tid=5928^","ActivID Desktop Validation Client")</f>
      </c>
      <c r="B289" s="4" t="s">
        <v>324</v>
      </c>
      <c r="C289" s="9" t="s">
        <v>6</v>
      </c>
      <c r="D289" s="12" t="s">
        <v>325</v>
      </c>
    </row>
    <row r="290">
      <c r="A290" s="5">
        <f>HYPERLINK("https://www.oit.va.gov/Services/TRM/ToolPage.aspx?tid=16236^","Alteryx Auto Insights")</f>
      </c>
      <c r="B290" s="4" t="s">
        <v>326</v>
      </c>
      <c r="C290" s="9" t="s">
        <v>6</v>
      </c>
      <c r="D290" s="12" t="s">
        <v>327</v>
      </c>
    </row>
    <row r="291">
      <c r="A291" s="5">
        <f>HYPERLINK("https://www.oit.va.gov/Services/TRM/ToolPage.aspx?tid=11001^","Alteryx Designer")</f>
      </c>
      <c r="B291" s="4" t="s">
        <v>326</v>
      </c>
      <c r="C291" s="9" t="s">
        <v>6</v>
      </c>
      <c r="D291" s="12" t="s">
        <v>328</v>
      </c>
    </row>
    <row r="292">
      <c r="A292" s="5">
        <f>HYPERLINK("https://www.oit.va.gov/Services/TRM/ToolPage.aspx?tid=9341^","AnyMeeting Add-In for Microsoft Outlook")</f>
      </c>
      <c r="B292" s="4" t="s">
        <v>329</v>
      </c>
      <c r="C292" s="9" t="s">
        <v>6</v>
      </c>
      <c r="D292" s="12" t="s">
        <v>330</v>
      </c>
    </row>
    <row r="293">
      <c r="A293" s="5">
        <f>HYPERLINK("https://www.oit.va.gov/Services/TRM/ToolPage.aspx?tid=16793^","APL64")</f>
      </c>
      <c r="B293" s="4" t="s">
        <v>331</v>
      </c>
      <c r="C293" s="9" t="s">
        <v>6</v>
      </c>
      <c r="D293" s="12" t="s">
        <v>332</v>
      </c>
    </row>
    <row r="294">
      <c r="A294" s="5">
        <f>HYPERLINK("https://www.oit.va.gov/Services/TRM/ToolPage.aspx?tid=10312^","Document Storage Systems (DSS) Enterprise Reporting")</f>
      </c>
      <c r="B294" s="4" t="s">
        <v>294</v>
      </c>
      <c r="C294" s="9" t="s">
        <v>6</v>
      </c>
      <c r="D294" s="12" t="s">
        <v>333</v>
      </c>
    </row>
    <row r="295">
      <c r="A295" s="5">
        <f>HYPERLINK("https://www.oit.va.gov/Services/TRM/ToolPage.aspx?tid=8604^","DSS Fee Basis Claims Systems (FBCS)")</f>
      </c>
      <c r="B295" s="4" t="s">
        <v>294</v>
      </c>
      <c r="C295" s="9" t="s">
        <v>6</v>
      </c>
      <c r="D295" s="12" t="s">
        <v>334</v>
      </c>
    </row>
    <row r="296">
      <c r="A296" s="5">
        <f>HYPERLINK("https://www.oit.va.gov/Services/TRM/ToolPage.aspx?tid=6850^","International Business Machines (IBM) FileNet Case Analyzer")</f>
      </c>
      <c r="B296" s="4" t="s">
        <v>233</v>
      </c>
      <c r="C296" s="9" t="s">
        <v>6</v>
      </c>
      <c r="D296" s="12" t="s">
        <v>335</v>
      </c>
    </row>
    <row r="297">
      <c r="A297" s="5">
        <f>HYPERLINK("https://www.oit.va.gov/Services/TRM/ToolPage.aspx?tid=6855^","International Business Machines (IBM) FileNet P8 Platform")</f>
      </c>
      <c r="B297" s="4" t="s">
        <v>233</v>
      </c>
      <c r="C297" s="9" t="s">
        <v>6</v>
      </c>
      <c r="D297" s="12" t="s">
        <v>336</v>
      </c>
    </row>
    <row r="298">
      <c r="A298" s="5">
        <f>HYPERLINK("https://www.oit.va.gov/Services/TRM/ToolPage.aspx?tid=14478^","MessageExport for Microsoft Outlook")</f>
      </c>
      <c r="B298" s="4" t="s">
        <v>337</v>
      </c>
      <c r="C298" s="9" t="s">
        <v>6</v>
      </c>
      <c r="D298" s="12" t="s">
        <v>170</v>
      </c>
    </row>
    <row r="299">
      <c r="A299" s="5">
        <f>HYPERLINK("https://www.oit.va.gov/Services/TRM/ToolPage.aspx?tid=9225^","MOSAIQ Radiation Oncology")</f>
      </c>
      <c r="B299" s="4" t="s">
        <v>338</v>
      </c>
      <c r="C299" s="9" t="s">
        <v>6</v>
      </c>
      <c r="D299" s="12" t="s">
        <v>339</v>
      </c>
    </row>
    <row r="300">
      <c r="A300" s="5">
        <f>HYPERLINK("https://www.oit.va.gov/Services/TRM/ToolPage.aspx?tid=6716^","Node.js	")</f>
      </c>
      <c r="B300" s="4" t="s">
        <v>340</v>
      </c>
      <c r="C300" s="9" t="s">
        <v>6</v>
      </c>
      <c r="D300" s="12" t="s">
        <v>341</v>
      </c>
    </row>
    <row r="301">
      <c r="A301" s="5">
        <f>HYPERLINK("https://www.oit.va.gov/Services/TRM/ToolPage.aspx?tid=11323^","Nuance Clintegrity")</f>
      </c>
      <c r="B301" s="4" t="s">
        <v>342</v>
      </c>
      <c r="C301" s="9" t="s">
        <v>6</v>
      </c>
      <c r="D301" s="12" t="s">
        <v>343</v>
      </c>
    </row>
    <row r="302">
      <c r="A302" s="5">
        <f>HYPERLINK("https://www.oit.va.gov/Services/TRM/ToolPage.aspx?tid=6360^","QlikView")</f>
      </c>
      <c r="B302" s="4" t="s">
        <v>344</v>
      </c>
      <c r="C302" s="9" t="s">
        <v>6</v>
      </c>
      <c r="D302" s="12" t="s">
        <v>307</v>
      </c>
    </row>
    <row r="303">
      <c r="A303" s="5">
        <f>HYPERLINK("https://www.oit.va.gov/Services/TRM/ToolPage.aspx?tid=6777^","SonarQube")</f>
      </c>
      <c r="B303" s="4" t="s">
        <v>345</v>
      </c>
      <c r="C303" s="9" t="s">
        <v>6</v>
      </c>
      <c r="D303" s="12" t="s">
        <v>346</v>
      </c>
    </row>
    <row r="304">
      <c r="A304" s="5">
        <f>HYPERLINK("https://www.oit.va.gov/Services/TRM/ToolPage.aspx?tid=9969^","Symantec Mail Security for Microsoft Exchange")</f>
      </c>
      <c r="B304" s="4" t="s">
        <v>347</v>
      </c>
      <c r="C304" s="9" t="s">
        <v>6</v>
      </c>
      <c r="D304" s="12" t="s">
        <v>348</v>
      </c>
    </row>
    <row r="305">
      <c r="A305" s="5">
        <f>HYPERLINK("https://www.oit.va.gov/Services/TRM/ToolPage.aspx?tid=16153^","Syncfusion Angular")</f>
      </c>
      <c r="B305" s="4" t="s">
        <v>349</v>
      </c>
      <c r="C305" s="9" t="s">
        <v>6</v>
      </c>
      <c r="D305" s="12" t="s">
        <v>350</v>
      </c>
    </row>
    <row r="306">
      <c r="A306" s="5">
        <f>HYPERLINK("https://www.oit.va.gov/Services/TRM/ToolPage.aspx?tid=16127^","Syncfusion React")</f>
      </c>
      <c r="B306" s="4" t="s">
        <v>351</v>
      </c>
      <c r="C306" s="9" t="s">
        <v>6</v>
      </c>
      <c r="D306" s="12" t="s">
        <v>352</v>
      </c>
    </row>
    <row r="307">
      <c r="A307" s="5">
        <f>HYPERLINK("https://www.oit.va.gov/Services/TRM/ToolPage.aspx?tid=13601^","Unified Meetingplace for Microsoft Outlook")</f>
      </c>
      <c r="B307" s="4" t="s">
        <v>353</v>
      </c>
      <c r="C307" s="9" t="s">
        <v>6</v>
      </c>
      <c r="D307" s="12" t="s">
        <v>354</v>
      </c>
    </row>
    <row r="308">
      <c r="A308" s="5">
        <f>HYPERLINK("https://www.oit.va.gov/Services/TRM/ToolPage.aspx?tid=5893^","ViewPoint Continuous Monitoring Software (CMS)")</f>
      </c>
      <c r="B308" s="4" t="s">
        <v>355</v>
      </c>
      <c r="C308" s="9" t="s">
        <v>6</v>
      </c>
      <c r="D308" s="12" t="s">
        <v>356</v>
      </c>
    </row>
    <row r="309">
      <c r="A309" s="5">
        <f>HYPERLINK("https://www.oit.va.gov/Services/TRM/ToolPage.aspx?tid=5457^","vRanger")</f>
      </c>
      <c r="B309" s="4" t="s">
        <v>357</v>
      </c>
      <c r="C309" s="9" t="s">
        <v>6</v>
      </c>
      <c r="D309" s="12" t="s">
        <v>358</v>
      </c>
    </row>
    <row r="310">
      <c r="A310" s="5">
        <f>HYPERLINK("https://www.oit.va.gov/Services/TRM/ToolPage.aspx?tid=10308^","Add-in Express for Office and .NET")</f>
      </c>
      <c r="B310" s="4" t="s">
        <v>231</v>
      </c>
      <c r="C310" s="9" t="s">
        <v>6</v>
      </c>
      <c r="D310" s="12" t="s">
        <v>359</v>
      </c>
    </row>
    <row r="311">
      <c r="A311" s="5">
        <f>HYPERLINK("https://www.oit.va.gov/Services/TRM/ToolPage.aspx?tid=16357^","Adobe Sign for SharePoint (On-Premises)")</f>
      </c>
      <c r="B311" s="4" t="s">
        <v>110</v>
      </c>
      <c r="C311" s="9" t="s">
        <v>6</v>
      </c>
      <c r="D311" s="12" t="s">
        <v>360</v>
      </c>
    </row>
    <row r="312">
      <c r="A312" s="5">
        <f>HYPERLINK("https://www.oit.va.gov/Services/TRM/ToolPage.aspx?tid=14979^","ALM Toolkit")</f>
      </c>
      <c r="B312" s="4" t="s">
        <v>361</v>
      </c>
      <c r="C312" s="9" t="s">
        <v>6</v>
      </c>
      <c r="D312" s="12" t="s">
        <v>362</v>
      </c>
    </row>
    <row r="313">
      <c r="A313" s="5">
        <f>HYPERLINK("https://www.oit.va.gov/Services/TRM/ToolPage.aspx?tid=8012^","ApexSQL Diff")</f>
      </c>
      <c r="B313" s="4" t="s">
        <v>363</v>
      </c>
      <c r="C313" s="9" t="s">
        <v>6</v>
      </c>
      <c r="D313" s="12" t="s">
        <v>364</v>
      </c>
    </row>
    <row r="314">
      <c r="A314" s="5">
        <f>HYPERLINK("https://www.oit.va.gov/Services/TRM/ToolPage.aspx?tid=14287^","ApexSQL Model")</f>
      </c>
      <c r="B314" s="4" t="s">
        <v>357</v>
      </c>
      <c r="C314" s="9" t="s">
        <v>6</v>
      </c>
      <c r="D314" s="12" t="s">
        <v>365</v>
      </c>
    </row>
    <row r="315">
      <c r="A315" s="5">
        <f>HYPERLINK("https://www.oit.va.gov/Services/TRM/ToolPage.aspx?tid=13291^","Articulate Studio")</f>
      </c>
      <c r="B315" s="4" t="s">
        <v>366</v>
      </c>
      <c r="C315" s="9" t="s">
        <v>6</v>
      </c>
      <c r="D315" s="12" t="s">
        <v>367</v>
      </c>
    </row>
    <row r="316">
      <c r="A316" s="5">
        <f>HYPERLINK("https://www.oit.va.gov/Services/TRM/ToolPage.aspx?tid=7224^","Aspose.Words for .NET")</f>
      </c>
      <c r="B316" s="4" t="s">
        <v>368</v>
      </c>
      <c r="C316" s="9" t="s">
        <v>6</v>
      </c>
      <c r="D316" s="12" t="s">
        <v>369</v>
      </c>
    </row>
    <row r="317">
      <c r="A317" s="5">
        <f>HYPERLINK("https://www.oit.va.gov/Services/TRM/ToolPage.aspx?tid=11602^","BioTek Gen5")</f>
      </c>
      <c r="B317" s="4" t="s">
        <v>370</v>
      </c>
      <c r="C317" s="9" t="s">
        <v>6</v>
      </c>
      <c r="D317" s="12" t="s">
        <v>371</v>
      </c>
    </row>
    <row r="318">
      <c r="A318" s="5">
        <f>HYPERLINK("https://www.oit.va.gov/Services/TRM/ToolPage.aspx?tid=6475^","CommonLook Office GlobalAccess")</f>
      </c>
      <c r="B318" s="4" t="s">
        <v>372</v>
      </c>
      <c r="C318" s="9" t="s">
        <v>6</v>
      </c>
      <c r="D318" s="12" t="s">
        <v>373</v>
      </c>
    </row>
    <row r="319">
      <c r="A319" s="5">
        <f>HYPERLINK("https://www.oit.va.gov/Services/TRM/ToolPage.aspx?tid=14259^","DAX Studio")</f>
      </c>
      <c r="B319" s="4" t="s">
        <v>374</v>
      </c>
      <c r="C319" s="9" t="s">
        <v>6</v>
      </c>
      <c r="D319" s="12" t="s">
        <v>375</v>
      </c>
    </row>
    <row r="320">
      <c r="A320" s="5">
        <f>HYPERLINK("https://www.oit.va.gov/Services/TRM/ToolPage.aspx?tid=15232^","Defense Contract Management Agency (DCMA) Schedule Analyzer forProject")</f>
      </c>
      <c r="B320" s="4" t="s">
        <v>376</v>
      </c>
      <c r="C320" s="9" t="s">
        <v>6</v>
      </c>
      <c r="D320" s="12" t="s">
        <v>377</v>
      </c>
    </row>
    <row r="321">
      <c r="A321" s="5">
        <f>HYPERLINK("https://www.oit.va.gov/Services/TRM/ToolPage.aspx?tid=15356^","Dynamics365.UserInterfaceAutomation.ApplicationProgrammingInterface (Dynamics365.UIAutomation.Api)")</f>
      </c>
      <c r="B321" s="4" t="s">
        <v>378</v>
      </c>
      <c r="C321" s="9" t="s">
        <v>6</v>
      </c>
      <c r="D321" s="12" t="s">
        <v>176</v>
      </c>
    </row>
    <row r="322">
      <c r="A322" s="5">
        <f>HYPERLINK("https://www.oit.va.gov/Services/TRM/ToolPage.aspx?tid=15809^","ExpanDrive Desktop")</f>
      </c>
      <c r="B322" s="4" t="s">
        <v>379</v>
      </c>
      <c r="C322" s="9" t="s">
        <v>6</v>
      </c>
      <c r="D322" s="12" t="s">
        <v>380</v>
      </c>
    </row>
    <row r="323">
      <c r="A323" s="5">
        <f>HYPERLINK("https://www.oit.va.gov/Services/TRM/ToolPage.aspx?tid=5980^","FS Pro")</f>
      </c>
      <c r="B323" s="4" t="s">
        <v>381</v>
      </c>
      <c r="C323" s="9" t="s">
        <v>6</v>
      </c>
      <c r="D323" s="12" t="s">
        <v>382</v>
      </c>
    </row>
    <row r="324">
      <c r="A324" s="5">
        <f>HYPERLINK("https://www.oit.va.gov/Services/TRM/ToolPage.aspx?tid=8975^","IntegriSign Desktop (ISD)")</f>
      </c>
      <c r="B324" s="4" t="s">
        <v>383</v>
      </c>
      <c r="C324" s="9" t="s">
        <v>6</v>
      </c>
      <c r="D324" s="12" t="s">
        <v>384</v>
      </c>
    </row>
    <row r="325">
      <c r="A325" s="5">
        <f>HYPERLINK("https://www.oit.va.gov/Services/TRM/ToolPage.aspx?tid=9965^","Kutools for Excel")</f>
      </c>
      <c r="B325" s="4" t="s">
        <v>385</v>
      </c>
      <c r="C325" s="9" t="s">
        <v>6</v>
      </c>
      <c r="D325" s="12" t="s">
        <v>60</v>
      </c>
    </row>
    <row r="326">
      <c r="A326" s="5">
        <f>HYPERLINK("https://www.oit.va.gov/Services/TRM/ToolPage.aspx?tid=16853^","Measure Killer")</f>
      </c>
      <c r="B326" s="4" t="s">
        <v>386</v>
      </c>
      <c r="C326" s="9" t="s">
        <v>6</v>
      </c>
      <c r="D326" s="12" t="s">
        <v>387</v>
      </c>
    </row>
    <row r="327">
      <c r="A327" s="5">
        <f>HYPERLINK("https://www.oit.va.gov/Services/TRM/ToolPage.aspx?tid=16876^","mg_web")</f>
      </c>
      <c r="B327" s="4" t="s">
        <v>388</v>
      </c>
      <c r="C327" s="9" t="s">
        <v>6</v>
      </c>
      <c r="D327" s="12" t="s">
        <v>389</v>
      </c>
    </row>
    <row r="328">
      <c r="A328" s="5">
        <f>HYPERLINK("https://www.oit.va.gov/Services/TRM/ToolPage.aspx?tid=14246^","NetZoom Visio Stencils")</f>
      </c>
      <c r="B328" s="4" t="s">
        <v>390</v>
      </c>
      <c r="C328" s="9" t="s">
        <v>6</v>
      </c>
      <c r="D328" s="12" t="s">
        <v>391</v>
      </c>
    </row>
    <row r="329">
      <c r="A329" s="5">
        <f>HYPERLINK("https://www.oit.va.gov/Services/TRM/ToolPage.aspx?tid=6714^","NHibernate")</f>
      </c>
      <c r="B329" s="4" t="s">
        <v>392</v>
      </c>
      <c r="C329" s="9" t="s">
        <v>6</v>
      </c>
      <c r="D329" s="12" t="s">
        <v>393</v>
      </c>
    </row>
    <row r="330">
      <c r="A330" s="5">
        <f>HYPERLINK("https://www.oit.va.gov/Services/TRM/ToolPage.aspx?tid=11108^","Nikon Instruments Software (NIS)-Elements Documentation (D)")</f>
      </c>
      <c r="B330" s="4" t="s">
        <v>394</v>
      </c>
      <c r="C330" s="9" t="s">
        <v>6</v>
      </c>
      <c r="D330" s="12" t="s">
        <v>395</v>
      </c>
    </row>
    <row r="331">
      <c r="A331" s="5">
        <f>HYPERLINK("https://www.oit.va.gov/Services/TRM/ToolPage.aspx?tid=13128^","Office Routing Plus (ORP) Outlook Edition")</f>
      </c>
      <c r="B331" s="4" t="s">
        <v>396</v>
      </c>
      <c r="C331" s="9" t="s">
        <v>6</v>
      </c>
      <c r="D331" s="12" t="s">
        <v>397</v>
      </c>
    </row>
    <row r="332">
      <c r="A332" s="5">
        <f>HYPERLINK("https://www.oit.va.gov/Services/TRM/ToolPage.aspx?tid=8530^","Office Timeline")</f>
      </c>
      <c r="B332" s="4" t="s">
        <v>398</v>
      </c>
      <c r="C332" s="9" t="s">
        <v>6</v>
      </c>
      <c r="D332" s="12" t="s">
        <v>399</v>
      </c>
    </row>
    <row r="333">
      <c r="A333" s="5">
        <f>HYPERLINK("https://www.oit.va.gov/Services/TRM/ToolPage.aspx?tid=11314^","Oracle Smart View for Office")</f>
      </c>
      <c r="B333" s="4" t="s">
        <v>136</v>
      </c>
      <c r="C333" s="9" t="s">
        <v>6</v>
      </c>
      <c r="D333" s="12" t="s">
        <v>400</v>
      </c>
    </row>
    <row r="334">
      <c r="A334" s="5">
        <f>HYPERLINK("https://www.oit.va.gov/Services/TRM/ToolPage.aspx?tid=14990^","PerfectIt")</f>
      </c>
      <c r="B334" s="4" t="s">
        <v>401</v>
      </c>
      <c r="C334" s="9" t="s">
        <v>6</v>
      </c>
      <c r="D334" s="12" t="s">
        <v>402</v>
      </c>
    </row>
    <row r="335">
      <c r="A335" s="5">
        <f>HYPERLINK("https://www.oit.va.gov/Services/TRM/ToolPage.aspx?tid=15813^","Pexip Teams Connector")</f>
      </c>
      <c r="B335" s="4" t="s">
        <v>403</v>
      </c>
      <c r="C335" s="9" t="s">
        <v>6</v>
      </c>
      <c r="D335" s="12" t="s">
        <v>404</v>
      </c>
    </row>
    <row r="336">
      <c r="A336" s="5">
        <f>HYPERLINK("https://www.oit.va.gov/Services/TRM/ToolPage.aspx?tid=16186^","PnP PowerShell Module")</f>
      </c>
      <c r="B336" s="4" t="s">
        <v>405</v>
      </c>
      <c r="C336" s="9" t="s">
        <v>6</v>
      </c>
      <c r="D336" s="12" t="s">
        <v>406</v>
      </c>
    </row>
    <row r="337">
      <c r="A337" s="5">
        <f>HYPERLINK("https://www.oit.va.gov/Services/TRM/ToolPage.aspx?tid=6163^","PointSolutions")</f>
      </c>
      <c r="B337" s="4" t="s">
        <v>407</v>
      </c>
      <c r="C337" s="9" t="s">
        <v>6</v>
      </c>
      <c r="D337" s="12" t="s">
        <v>408</v>
      </c>
    </row>
    <row r="338">
      <c r="A338" s="5">
        <f>HYPERLINK("https://www.oit.va.gov/Services/TRM/ToolPage.aspx?tid=8299^","PollEv Presenter App for Powerpoint")</f>
      </c>
      <c r="B338" s="4" t="s">
        <v>409</v>
      </c>
      <c r="C338" s="9" t="s">
        <v>6</v>
      </c>
      <c r="D338" s="12" t="s">
        <v>410</v>
      </c>
    </row>
    <row r="339">
      <c r="A339" s="5">
        <f>HYPERLINK("https://www.oit.va.gov/Services/TRM/ToolPage.aspx?tid=10286^","Polysmith")</f>
      </c>
      <c r="B339" s="4" t="s">
        <v>411</v>
      </c>
      <c r="C339" s="9" t="s">
        <v>6</v>
      </c>
      <c r="D339" s="12" t="s">
        <v>412</v>
      </c>
    </row>
    <row r="340">
      <c r="A340" s="5">
        <f>HYPERLINK("https://www.oit.va.gov/Services/TRM/ToolPage.aspx?tid=16154^","Power BI (Business Intelligence) Embedded")</f>
      </c>
      <c r="B340" s="4" t="s">
        <v>413</v>
      </c>
      <c r="C340" s="9" t="s">
        <v>6</v>
      </c>
      <c r="D340" s="12" t="s">
        <v>414</v>
      </c>
    </row>
    <row r="341">
      <c r="A341" s="5">
        <f>HYPERLINK("https://www.oit.va.gov/Services/TRM/ToolPage.aspx?tid=16851^","Power BI Connector for ServiceNow")</f>
      </c>
      <c r="B341" s="4" t="s">
        <v>415</v>
      </c>
      <c r="C341" s="9" t="s">
        <v>6</v>
      </c>
      <c r="D341" s="12" t="s">
        <v>416</v>
      </c>
    </row>
    <row r="342">
      <c r="A342" s="5">
        <f>HYPERLINK("https://www.oit.va.gov/Services/TRM/ToolPage.aspx?tid=14745^","Power Business Intelligence (BI) Tiles")</f>
      </c>
      <c r="B342" s="4" t="s">
        <v>417</v>
      </c>
      <c r="C342" s="9" t="s">
        <v>6</v>
      </c>
      <c r="D342" s="12" t="s">
        <v>418</v>
      </c>
    </row>
    <row r="343">
      <c r="A343" s="5">
        <f>HYPERLINK("https://www.oit.va.gov/Services/TRM/ToolPage.aspx?tid=16859^","Power Rules Manager")</f>
      </c>
      <c r="B343" s="4" t="s">
        <v>419</v>
      </c>
      <c r="C343" s="9" t="s">
        <v>6</v>
      </c>
      <c r="D343" s="12" t="s">
        <v>420</v>
      </c>
    </row>
    <row r="344">
      <c r="A344" s="5">
        <f>HYPERLINK("https://www.oit.va.gov/Services/TRM/ToolPage.aspx?tid=10144^","Process Simulator (PCS)")</f>
      </c>
      <c r="B344" s="4" t="s">
        <v>421</v>
      </c>
      <c r="C344" s="9" t="s">
        <v>6</v>
      </c>
      <c r="D344" s="12" t="s">
        <v>422</v>
      </c>
    </row>
    <row r="345">
      <c r="A345" s="5">
        <f>HYPERLINK("https://www.oit.va.gov/Services/TRM/ToolPage.aspx?tid=6115^","QI Macros")</f>
      </c>
      <c r="B345" s="4" t="s">
        <v>423</v>
      </c>
      <c r="C345" s="9" t="s">
        <v>6</v>
      </c>
      <c r="D345" s="12" t="s">
        <v>424</v>
      </c>
    </row>
    <row r="346">
      <c r="A346" s="5">
        <f>HYPERLINK("https://www.oit.va.gov/Services/TRM/ToolPage.aspx?tid=15805^","RaySafe View")</f>
      </c>
      <c r="B346" s="4" t="s">
        <v>425</v>
      </c>
      <c r="C346" s="9" t="s">
        <v>6</v>
      </c>
      <c r="D346" s="12" t="s">
        <v>426</v>
      </c>
    </row>
    <row r="347">
      <c r="A347" s="5">
        <f>HYPERLINK("https://www.oit.va.gov/Services/TRM/ToolPage.aspx?tid=6118^","Remote Automated Laboratory System (RALS) Remote Connect")</f>
      </c>
      <c r="B347" s="4" t="s">
        <v>427</v>
      </c>
      <c r="C347" s="9" t="s">
        <v>6</v>
      </c>
      <c r="D347" s="12" t="s">
        <v>428</v>
      </c>
    </row>
    <row r="348">
      <c r="A348" s="5">
        <f>HYPERLINK("https://www.oit.va.gov/Services/TRM/ToolPage.aspx?tid=6734^","SigmaXL")</f>
      </c>
      <c r="B348" s="4" t="s">
        <v>429</v>
      </c>
      <c r="C348" s="9" t="s">
        <v>6</v>
      </c>
      <c r="D348" s="12" t="s">
        <v>430</v>
      </c>
    </row>
    <row r="349">
      <c r="A349" s="5">
        <f>HYPERLINK("https://www.oit.va.gov/Services/TRM/ToolPage.aspx?tid=14838^","SolarWinds Virtualization Manager (VMAN)")</f>
      </c>
      <c r="B349" s="4" t="s">
        <v>431</v>
      </c>
      <c r="C349" s="9" t="s">
        <v>6</v>
      </c>
      <c r="D349" s="12" t="s">
        <v>432</v>
      </c>
    </row>
    <row r="350">
      <c r="A350" s="5">
        <f>HYPERLINK("https://www.oit.va.gov/Services/TRM/ToolPage.aspx?tid=8431^","Statistical Process Control (SPC) XL (Excel)")</f>
      </c>
      <c r="B350" s="4" t="s">
        <v>433</v>
      </c>
      <c r="C350" s="9" t="s">
        <v>6</v>
      </c>
      <c r="D350" s="12" t="s">
        <v>434</v>
      </c>
    </row>
    <row r="351">
      <c r="A351" s="5">
        <f>HYPERLINK("https://www.oit.va.gov/Services/TRM/ToolPage.aspx?tid=5110^","Strawberry Perl")</f>
      </c>
      <c r="B351" s="4" t="s">
        <v>435</v>
      </c>
      <c r="C351" s="9" t="s">
        <v>6</v>
      </c>
      <c r="D351" s="12" t="s">
        <v>436</v>
      </c>
    </row>
    <row r="352">
      <c r="A352" s="5">
        <f>HYPERLINK("https://www.oit.va.gov/Services/TRM/ToolPage.aspx?tid=11231^","Structured Query Language (SQL) Compare")</f>
      </c>
      <c r="B352" s="4" t="s">
        <v>437</v>
      </c>
      <c r="C352" s="9" t="s">
        <v>6</v>
      </c>
      <c r="D352" s="12" t="s">
        <v>438</v>
      </c>
    </row>
    <row r="353">
      <c r="A353" s="5">
        <f>HYPERLINK("https://www.oit.va.gov/Services/TRM/ToolPage.aspx?tid=11230^","Structured Query Language (SQL) Doc")</f>
      </c>
      <c r="B353" s="4" t="s">
        <v>439</v>
      </c>
      <c r="C353" s="9" t="s">
        <v>6</v>
      </c>
      <c r="D353" s="12" t="s">
        <v>440</v>
      </c>
    </row>
    <row r="354">
      <c r="A354" s="5">
        <f>HYPERLINK("https://www.oit.va.gov/Services/TRM/ToolPage.aspx?tid=11229^","Structured Query Language (SQL) Prompt")</f>
      </c>
      <c r="B354" s="4" t="s">
        <v>437</v>
      </c>
      <c r="C354" s="9" t="s">
        <v>6</v>
      </c>
      <c r="D354" s="12" t="s">
        <v>441</v>
      </c>
    </row>
    <row r="355">
      <c r="A355" s="5">
        <f>HYPERLINK("https://www.oit.va.gov/Services/TRM/ToolPage.aspx?tid=9379^","Structured Query Language (SQL) Sentry Plan Explorer")</f>
      </c>
      <c r="B355" s="4" t="s">
        <v>431</v>
      </c>
      <c r="C355" s="9" t="s">
        <v>6</v>
      </c>
      <c r="D355" s="12" t="s">
        <v>442</v>
      </c>
    </row>
    <row r="356">
      <c r="A356" s="5">
        <f>HYPERLINK("https://www.oit.va.gov/Services/TRM/ToolPage.aspx?tid=11228^","Structured Query Language (SQL) Test")</f>
      </c>
      <c r="B356" s="4" t="s">
        <v>437</v>
      </c>
      <c r="C356" s="9" t="s">
        <v>6</v>
      </c>
      <c r="D356" s="12" t="s">
        <v>443</v>
      </c>
    </row>
    <row r="357">
      <c r="A357" s="5">
        <f>HYPERLINK("https://www.oit.va.gov/Services/TRM/ToolPage.aspx?tid=16609^","Telerik User Interface (UI) for Blazor")</f>
      </c>
      <c r="B357" s="4" t="s">
        <v>444</v>
      </c>
      <c r="C357" s="9" t="s">
        <v>6</v>
      </c>
      <c r="D357" s="12" t="s">
        <v>445</v>
      </c>
    </row>
    <row r="358">
      <c r="A358" s="5">
        <f>HYPERLINK("https://www.oit.va.gov/Services/TRM/ToolPage.aspx?tid=15590^","Telesis software")</f>
      </c>
      <c r="B358" s="4" t="s">
        <v>446</v>
      </c>
      <c r="C358" s="9" t="s">
        <v>6</v>
      </c>
      <c r="D358" s="12" t="s">
        <v>447</v>
      </c>
    </row>
    <row r="359">
      <c r="A359" s="5">
        <f>HYPERLINK("https://www.oit.va.gov/Services/TRM/ToolPage.aspx?tid=6381^","Tool for Oracle Application Developers (TOAD) Data Point")</f>
      </c>
      <c r="B359" s="4" t="s">
        <v>357</v>
      </c>
      <c r="C359" s="9" t="s">
        <v>6</v>
      </c>
      <c r="D359" s="12" t="s">
        <v>448</v>
      </c>
    </row>
    <row r="360">
      <c r="A360" s="5">
        <f>HYPERLINK("https://www.oit.va.gov/Services/TRM/ToolPage.aspx?tid=14653^","UiPath Browser Extension")</f>
      </c>
      <c r="B360" s="4" t="s">
        <v>449</v>
      </c>
      <c r="C360" s="9" t="s">
        <v>6</v>
      </c>
      <c r="D360" s="12" t="s">
        <v>450</v>
      </c>
    </row>
    <row r="361">
      <c r="A361" s="5">
        <f>HYPERLINK("https://www.oit.va.gov/Services/TRM/ToolPage.aspx?tid=8404^","Universal Imaging Utility (UIU)")</f>
      </c>
      <c r="B361" s="4" t="s">
        <v>451</v>
      </c>
      <c r="C361" s="9" t="s">
        <v>6</v>
      </c>
      <c r="D361" s="12" t="s">
        <v>452</v>
      </c>
    </row>
    <row r="362">
      <c r="A362" s="5">
        <f>HYPERLINK("https://www.oit.va.gov/Services/TRM/ToolPage.aspx?tid=9036^","Vensim")</f>
      </c>
      <c r="B362" s="4" t="s">
        <v>453</v>
      </c>
      <c r="C362" s="9" t="s">
        <v>6</v>
      </c>
      <c r="D362" s="12" t="s">
        <v>454</v>
      </c>
    </row>
    <row r="363">
      <c r="A363" s="5">
        <f>HYPERLINK("https://www.oit.va.gov/Services/TRM/ToolPage.aspx?tid=14422^","Windows Subsystem for Linux (WSL)")</f>
      </c>
      <c r="B363" s="4" t="s">
        <v>5</v>
      </c>
      <c r="C363" s="9" t="s">
        <v>6</v>
      </c>
      <c r="D363" s="12" t="s">
        <v>455</v>
      </c>
    </row>
    <row r="364">
      <c r="A364" s="5">
        <f>HYPERLINK("https://www.oit.va.gov/Services/TRM/ToolPage.aspx?tid=11797^","AccessChk")</f>
      </c>
      <c r="B364" s="4" t="s">
        <v>5</v>
      </c>
      <c r="C364" s="9" t="s">
        <v>6</v>
      </c>
      <c r="D364" s="12" t="s">
        <v>456</v>
      </c>
    </row>
    <row r="365">
      <c r="A365" s="5">
        <f>HYPERLINK("https://www.oit.va.gov/Services/TRM/ToolPage.aspx?tid=10405^","Application Virtualization (App-V) Client")</f>
      </c>
      <c r="B365" s="4" t="s">
        <v>5</v>
      </c>
      <c r="C365" s="9" t="s">
        <v>6</v>
      </c>
      <c r="D365" s="12" t="s">
        <v>457</v>
      </c>
    </row>
    <row r="366">
      <c r="A366" s="5">
        <f>HYPERLINK("https://www.oit.va.gov/Services/TRM/ToolPage.aspx?tid=5580^","Bing Bar")</f>
      </c>
      <c r="B366" s="4" t="s">
        <v>5</v>
      </c>
      <c r="C366" s="9" t="s">
        <v>6</v>
      </c>
      <c r="D366" s="12" t="s">
        <v>458</v>
      </c>
    </row>
    <row r="367">
      <c r="A367" s="5">
        <f>HYPERLINK("https://www.oit.va.gov/Services/TRM/ToolPage.aspx?tid=14875^","Bing Desktop")</f>
      </c>
      <c r="B367" s="4" t="s">
        <v>5</v>
      </c>
      <c r="C367" s="9" t="s">
        <v>6</v>
      </c>
      <c r="D367" s="12" t="s">
        <v>459</v>
      </c>
    </row>
    <row r="368">
      <c r="A368" s="5">
        <f>HYPERLINK("https://www.oit.va.gov/Services/TRM/ToolPage.aspx?tid=5581^","Bing Rewards Client Installer")</f>
      </c>
      <c r="B368" s="4" t="s">
        <v>5</v>
      </c>
      <c r="C368" s="9" t="s">
        <v>6</v>
      </c>
      <c r="D368" s="12" t="s">
        <v>460</v>
      </c>
    </row>
    <row r="369">
      <c r="A369" s="5">
        <f>HYPERLINK("https://www.oit.va.gov/Services/TRM/StandardPage.aspx?tid=6244^","Bitmap Image File (BMP)")</f>
      </c>
      <c r="B369" s="4" t="s">
        <v>5</v>
      </c>
      <c r="C369" s="9" t="s">
        <v>6</v>
      </c>
      <c r="D369" s="12" t="s">
        <v>461</v>
      </c>
    </row>
    <row r="370">
      <c r="A370" s="5">
        <f>HYPERLINK("https://www.oit.va.gov/Services/TRM/ToolPage.aspx?tid=15067^","BlueStripe Collector")</f>
      </c>
      <c r="B370" s="4" t="s">
        <v>5</v>
      </c>
      <c r="C370" s="9" t="s">
        <v>6</v>
      </c>
      <c r="D370" s="12" t="s">
        <v>462</v>
      </c>
    </row>
    <row r="371">
      <c r="A371" s="5">
        <f>HYPERLINK("https://www.oit.va.gov/Services/TRM/ToolPage.aspx?tid=10471^","Desktops")</f>
      </c>
      <c r="B371" s="4" t="s">
        <v>5</v>
      </c>
      <c r="C371" s="9" t="s">
        <v>6</v>
      </c>
      <c r="D371" s="12" t="s">
        <v>463</v>
      </c>
    </row>
    <row r="372">
      <c r="A372" s="5">
        <f>HYPERLINK("https://www.oit.va.gov/Services/TRM/ToolPage.aspx?tid=11154^","Diagnostics and Recovery Toolset (DaRT)")</f>
      </c>
      <c r="B372" s="4" t="s">
        <v>5</v>
      </c>
      <c r="C372" s="9" t="s">
        <v>6</v>
      </c>
      <c r="D372" s="12" t="s">
        <v>464</v>
      </c>
    </row>
    <row r="373">
      <c r="A373" s="5">
        <f>HYPERLINK("https://www.oit.va.gov/Services/TRM/ToolPage.aspx?tid=5605^","DirectX")</f>
      </c>
      <c r="B373" s="4" t="s">
        <v>5</v>
      </c>
      <c r="C373" s="9" t="s">
        <v>6</v>
      </c>
      <c r="D373" s="12" t="s">
        <v>465</v>
      </c>
    </row>
    <row r="374">
      <c r="A374" s="5">
        <f>HYPERLINK("https://www.oit.va.gov/Services/TRM/ToolPage.aspx?tid=13181^","Excel Add-in: Extensible Markup Language (XML) Tools Add-in")</f>
      </c>
      <c r="B374" s="4" t="s">
        <v>5</v>
      </c>
      <c r="C374" s="9" t="s">
        <v>6</v>
      </c>
      <c r="D374" s="12" t="s">
        <v>466</v>
      </c>
    </row>
    <row r="375">
      <c r="A375" s="5">
        <f>HYPERLINK("https://www.oit.va.gov/Services/TRM/ToolPage.aspx?tid=15541^","Exchange Online PowerShell (EXO) V2 module")</f>
      </c>
      <c r="B375" s="4" t="s">
        <v>5</v>
      </c>
      <c r="C375" s="9" t="s">
        <v>6</v>
      </c>
      <c r="D375" s="12" t="s">
        <v>467</v>
      </c>
    </row>
    <row r="376">
      <c r="A376" s="5">
        <f>HYPERLINK("https://www.oit.va.gov/Services/TRM/ToolPage.aspx?tid=13102^","Host Integration Server (HIS)")</f>
      </c>
      <c r="B376" s="4" t="s">
        <v>5</v>
      </c>
      <c r="C376" s="9" t="s">
        <v>6</v>
      </c>
      <c r="D376" s="12" t="s">
        <v>468</v>
      </c>
    </row>
    <row r="377">
      <c r="A377" s="5">
        <f>HYPERLINK("https://www.oit.va.gov/Services/TRM/ToolPage.aspx?tid=16648^","IEability Microsoft Edge Add-on")</f>
      </c>
      <c r="B377" s="4" t="s">
        <v>469</v>
      </c>
      <c r="C377" s="9" t="s">
        <v>6</v>
      </c>
      <c r="D377" s="12" t="s">
        <v>213</v>
      </c>
    </row>
    <row r="378">
      <c r="A378" s="5">
        <f>HYPERLINK("https://www.oit.va.gov/Services/TRM/ToolPage.aspx?tid=11819^","List Dynamic Link Library (DLLs)")</f>
      </c>
      <c r="B378" s="4" t="s">
        <v>5</v>
      </c>
      <c r="C378" s="9" t="s">
        <v>6</v>
      </c>
      <c r="D378" s="12" t="s">
        <v>470</v>
      </c>
    </row>
    <row r="379">
      <c r="A379" s="5">
        <f>HYPERLINK("https://www.oit.va.gov/Services/TRM/ToolPage.aspx?tid=6055^","Managed DirectX")</f>
      </c>
      <c r="B379" s="4" t="s">
        <v>5</v>
      </c>
      <c r="C379" s="9" t="s">
        <v>6</v>
      </c>
      <c r="D379" s="12" t="s">
        <v>471</v>
      </c>
    </row>
    <row r="380">
      <c r="A380" s="5">
        <f>HYPERLINK("https://www.oit.va.gov/Services/TRM/ToolPage.aspx?tid=16770^","NetApp SnapCenter")</f>
      </c>
      <c r="B380" s="4" t="s">
        <v>472</v>
      </c>
      <c r="C380" s="9" t="s">
        <v>6</v>
      </c>
      <c r="D380" s="12" t="s">
        <v>473</v>
      </c>
    </row>
    <row r="381">
      <c r="A381" s="5">
        <f>HYPERLINK("https://www.oit.va.gov/Services/TRM/ToolPage.aspx?tid=7509^","NoReplyAll Outlook Add-In")</f>
      </c>
      <c r="B381" s="4" t="s">
        <v>5</v>
      </c>
      <c r="C381" s="9" t="s">
        <v>6</v>
      </c>
      <c r="D381" s="12" t="s">
        <v>201</v>
      </c>
    </row>
    <row r="382">
      <c r="A382" s="5">
        <f>HYPERLINK("https://www.oit.va.gov/Services/TRM/ToolPage.aspx?tid=11089^","PowerPivot for SharePoint")</f>
      </c>
      <c r="B382" s="4" t="s">
        <v>5</v>
      </c>
      <c r="C382" s="9" t="s">
        <v>6</v>
      </c>
      <c r="D382" s="12" t="s">
        <v>474</v>
      </c>
    </row>
    <row r="383">
      <c r="A383" s="5">
        <f>HYPERLINK("https://www.oit.va.gov/Services/TRM/ToolPage.aspx?tid=7479^","ProClarity Analytics Server")</f>
      </c>
      <c r="B383" s="4" t="s">
        <v>5</v>
      </c>
      <c r="C383" s="9" t="s">
        <v>6</v>
      </c>
      <c r="D383" s="12" t="s">
        <v>475</v>
      </c>
    </row>
    <row r="384">
      <c r="A384" s="5">
        <f>HYPERLINK("https://www.oit.va.gov/Services/TRM/ToolPage.aspx?tid=7480^","ProClarity Desktop Professional")</f>
      </c>
      <c r="B384" s="4" t="s">
        <v>5</v>
      </c>
      <c r="C384" s="9" t="s">
        <v>6</v>
      </c>
      <c r="D384" s="12" t="s">
        <v>476</v>
      </c>
    </row>
    <row r="385">
      <c r="A385" s="5">
        <f>HYPERLINK("https://www.oit.va.gov/Services/TRM/ToolPage.aspx?tid=11568^","Release Management for Visual Studio")</f>
      </c>
      <c r="B385" s="4" t="s">
        <v>5</v>
      </c>
      <c r="C385" s="9" t="s">
        <v>6</v>
      </c>
      <c r="D385" s="12" t="s">
        <v>477</v>
      </c>
    </row>
    <row r="386">
      <c r="A386" s="5">
        <f>HYPERLINK("https://www.oit.va.gov/Services/TRM/ToolPage.aspx?tid=15497^","ScanSnap Scan to Microsoft SharePoint")</f>
      </c>
      <c r="B386" s="4" t="s">
        <v>478</v>
      </c>
      <c r="C386" s="9" t="s">
        <v>6</v>
      </c>
      <c r="D386" s="12" t="s">
        <v>479</v>
      </c>
    </row>
    <row r="387">
      <c r="A387" s="5">
        <f>HYPERLINK("https://www.oit.va.gov/Services/TRM/ToolPage.aspx?tid=6442^","Skype")</f>
      </c>
      <c r="B387" s="4" t="s">
        <v>5</v>
      </c>
      <c r="C387" s="9" t="s">
        <v>6</v>
      </c>
      <c r="D387" s="12" t="s">
        <v>480</v>
      </c>
    </row>
    <row r="388">
      <c r="A388" s="5">
        <f>HYPERLINK("https://www.oit.va.gov/Services/TRM/ToolPage.aspx?tid=11639^","SQLXML")</f>
      </c>
      <c r="B388" s="4" t="s">
        <v>5</v>
      </c>
      <c r="C388" s="9" t="s">
        <v>6</v>
      </c>
      <c r="D388" s="12" t="s">
        <v>481</v>
      </c>
    </row>
    <row r="389">
      <c r="A389" s="5">
        <f>HYPERLINK("https://www.oit.va.gov/Services/TRM/ToolPage.aspx?tid=16497^","Structured Solutions Inc (SSI) Risk Analysis")</f>
      </c>
      <c r="B389" s="4" t="s">
        <v>482</v>
      </c>
      <c r="C389" s="9" t="s">
        <v>6</v>
      </c>
      <c r="D389" s="12" t="s">
        <v>483</v>
      </c>
    </row>
    <row r="390">
      <c r="A390" s="5">
        <f>HYPERLINK("https://www.oit.va.gov/Services/TRM/ToolPage.aspx?tid=14343^","Team Foundation Server Power Tools")</f>
      </c>
      <c r="B390" s="4" t="s">
        <v>5</v>
      </c>
      <c r="C390" s="9" t="s">
        <v>6</v>
      </c>
      <c r="D390" s="12" t="s">
        <v>484</v>
      </c>
    </row>
    <row r="391">
      <c r="A391" s="5">
        <f>HYPERLINK("https://www.oit.va.gov/Services/TRM/ToolPage.aspx?tid=13973^","Unified Service Desk Performance Analyzer")</f>
      </c>
      <c r="B391" s="4" t="s">
        <v>5</v>
      </c>
      <c r="C391" s="9" t="s">
        <v>6</v>
      </c>
      <c r="D391" s="12" t="s">
        <v>485</v>
      </c>
    </row>
    <row r="392">
      <c r="A392" s="5">
        <f>HYPERLINK("https://www.oit.va.gov/Services/TRM/ToolPage.aspx?tid=6743^","Visual C++ Redistributable Package")</f>
      </c>
      <c r="B392" s="4" t="s">
        <v>5</v>
      </c>
      <c r="C392" s="9" t="s">
        <v>6</v>
      </c>
      <c r="D392" s="12" t="s">
        <v>486</v>
      </c>
    </row>
    <row r="393">
      <c r="A393" s="5">
        <f>HYPERLINK("https://www.oit.va.gov/Services/TRM/ToolPage.aspx?tid=11463^","Visual Studio LightSwitch")</f>
      </c>
      <c r="B393" s="4" t="s">
        <v>5</v>
      </c>
      <c r="C393" s="9" t="s">
        <v>6</v>
      </c>
      <c r="D393" s="12" t="s">
        <v>487</v>
      </c>
    </row>
    <row r="394">
      <c r="A394" s="5">
        <f>HYPERLINK("https://www.oit.va.gov/Services/TRM/ToolPage.aspx?tid=13047^","Windows Admin Center")</f>
      </c>
      <c r="B394" s="4" t="s">
        <v>5</v>
      </c>
      <c r="C394" s="9" t="s">
        <v>6</v>
      </c>
      <c r="D394" s="12" t="s">
        <v>488</v>
      </c>
    </row>
    <row r="395">
      <c r="A395" s="5">
        <f>HYPERLINK("https://www.oit.va.gov/Services/TRM/ToolPage.aspx?tid=5766^","Windows Live Mesh")</f>
      </c>
      <c r="B395" s="4" t="s">
        <v>5</v>
      </c>
      <c r="C395" s="9" t="s">
        <v>6</v>
      </c>
      <c r="D395" s="12" t="s">
        <v>489</v>
      </c>
    </row>
    <row r="396">
      <c r="A396" s="5">
        <f>HYPERLINK("https://www.oit.va.gov/Services/TRM/ToolPage.aspx?tid=5774^","Windows Media Center Software Development Kit (SDK)")</f>
      </c>
      <c r="B396" s="4" t="s">
        <v>5</v>
      </c>
      <c r="C396" s="9" t="s">
        <v>6</v>
      </c>
      <c r="D396" s="12" t="s">
        <v>490</v>
      </c>
    </row>
    <row r="397">
      <c r="A397" s="5">
        <f>HYPERLINK("https://www.oit.va.gov/Services/TRM/ToolPage.aspx?tid=15037^","FSLogix client")</f>
      </c>
      <c r="B397" s="4" t="s">
        <v>5</v>
      </c>
      <c r="C397" s="9" t="s">
        <v>6</v>
      </c>
      <c r="D397" s="12" t="s">
        <v>491</v>
      </c>
    </row>
    <row r="398">
      <c r="A398" s="5">
        <f>HYPERLINK("https://www.oit.va.gov/Services/TRM/ToolPage.aspx?tid=6849^","International Business Machines (IBM) Case Foundation")</f>
      </c>
      <c r="B398" s="4" t="s">
        <v>233</v>
      </c>
      <c r="C398" s="9" t="s">
        <v>6</v>
      </c>
      <c r="D398" s="12" t="s">
        <v>492</v>
      </c>
    </row>
    <row r="399">
      <c r="A399" s="5">
        <f>HYPERLINK("https://www.oit.va.gov/Services/TRM/ToolPage.aspx?tid=15498^","NVIDIA Control Panel")</f>
      </c>
      <c r="B399" s="4" t="s">
        <v>493</v>
      </c>
      <c r="C399" s="9" t="s">
        <v>6</v>
      </c>
      <c r="D399" s="12" t="s">
        <v>494</v>
      </c>
    </row>
    <row r="400">
      <c r="A400" s="5">
        <f>HYPERLINK("https://www.oit.va.gov/Services/TRM/ToolPage.aspx?tid=16009^","Otosuite Vestibular")</f>
      </c>
      <c r="B400" s="4" t="s">
        <v>495</v>
      </c>
      <c r="C400" s="9" t="s">
        <v>6</v>
      </c>
      <c r="D400" s="12" t="s">
        <v>496</v>
      </c>
    </row>
    <row r="401">
      <c r="A401" s="5">
        <f>HYPERLINK("https://www.oit.va.gov/Services/TRM/ToolPage.aspx?tid=5669^","Visual SourceSafe (VSS)")</f>
      </c>
      <c r="B401" s="4" t="s">
        <v>5</v>
      </c>
      <c r="C401" s="9" t="s">
        <v>6</v>
      </c>
      <c r="D401" s="12" t="s">
        <v>497</v>
      </c>
    </row>
    <row r="402">
      <c r="A402" s="5">
        <f>HYPERLINK("https://www.oit.va.gov/Services/TRM/ToolPage.aspx?tid=10395^","Windows Assessment and Deployment Kit (ADK)")</f>
      </c>
      <c r="B402" s="4" t="s">
        <v>5</v>
      </c>
      <c r="C402" s="9" t="s">
        <v>6</v>
      </c>
      <c r="D402" s="12" t="s">
        <v>123</v>
      </c>
    </row>
    <row r="403">
      <c r="A403" s="5">
        <f>HYPERLINK("https://www.oit.va.gov/Services/TRM/ToolPage.aspx?tid=6604^","Active Server Pages (ASP) .NET Core Model-View-Controller (MVC)")</f>
      </c>
      <c r="B403" s="4" t="s">
        <v>5</v>
      </c>
      <c r="C403" s="9" t="s">
        <v>6</v>
      </c>
      <c r="D403" s="12" t="s">
        <v>498</v>
      </c>
    </row>
    <row r="404">
      <c r="A404" s="5">
        <f>HYPERLINK("https://www.oit.va.gov/Services/TRM/ToolPage.aspx?tid=13210^","Anti-Cross Site Scripting Library (AntiXSS)")</f>
      </c>
      <c r="B404" s="4" t="s">
        <v>5</v>
      </c>
      <c r="C404" s="9" t="s">
        <v>6</v>
      </c>
      <c r="D404" s="12" t="s">
        <v>499</v>
      </c>
    </row>
    <row r="405">
      <c r="A405" s="5">
        <f>HYPERLINK("https://www.oit.va.gov/Services/TRM/ToolPage.aspx?tid=16885^","Azure DevOps Office Integration")</f>
      </c>
      <c r="B405" s="4" t="s">
        <v>5</v>
      </c>
      <c r="C405" s="9" t="s">
        <v>6</v>
      </c>
      <c r="D405" s="12" t="s">
        <v>500</v>
      </c>
    </row>
    <row r="406">
      <c r="A406" s="5">
        <f>HYPERLINK("https://www.oit.va.gov/Services/TRM/ToolPage.aspx?tid=8708^","Dragon Medical One (DMO)")</f>
      </c>
      <c r="B406" s="4" t="s">
        <v>342</v>
      </c>
      <c r="C406" s="9" t="s">
        <v>6</v>
      </c>
      <c r="D406" s="12" t="s">
        <v>501</v>
      </c>
    </row>
    <row r="407">
      <c r="A407" s="5">
        <f>HYPERLINK("https://www.oit.va.gov/Services/TRM/ToolPage.aspx?tid=14120^","Ekahau Artificial Intelligence (AI) Pro")</f>
      </c>
      <c r="B407" s="4" t="s">
        <v>502</v>
      </c>
      <c r="C407" s="9" t="s">
        <v>6</v>
      </c>
      <c r="D407" s="12" t="s">
        <v>503</v>
      </c>
    </row>
    <row r="408">
      <c r="A408" s="5">
        <f>HYPERLINK("https://www.oit.va.gov/Services/TRM/ToolPage.aspx?tid=10381^","Informix Client Software Development Kit (SDK)")</f>
      </c>
      <c r="B408" s="4" t="s">
        <v>504</v>
      </c>
      <c r="C408" s="9" t="s">
        <v>6</v>
      </c>
      <c r="D408" s="12" t="s">
        <v>505</v>
      </c>
    </row>
    <row r="409">
      <c r="A409" s="5">
        <f>HYPERLINK("https://www.oit.va.gov/Services/TRM/ToolPage.aspx?tid=8176^","Kinect for Windows Software Development Kit (SDK)")</f>
      </c>
      <c r="B409" s="4" t="s">
        <v>5</v>
      </c>
      <c r="C409" s="9" t="s">
        <v>6</v>
      </c>
      <c r="D409" s="12" t="s">
        <v>506</v>
      </c>
    </row>
    <row r="410">
      <c r="A410" s="5">
        <f>HYPERLINK("https://www.oit.va.gov/Services/TRM/ToolPage.aspx?tid=6533^","Oracle Enterprise Manager (OEM)")</f>
      </c>
      <c r="B410" s="4" t="s">
        <v>136</v>
      </c>
      <c r="C410" s="9" t="s">
        <v>6</v>
      </c>
      <c r="D410" s="12" t="s">
        <v>507</v>
      </c>
    </row>
    <row r="411">
      <c r="A411" s="5">
        <f>HYPERLINK("https://www.oit.va.gov/Services/TRM/ToolPage.aspx?tid=10744^","Python Tools for Visual Studio (PTVS)")</f>
      </c>
      <c r="B411" s="4" t="s">
        <v>5</v>
      </c>
      <c r="C411" s="9" t="s">
        <v>6</v>
      </c>
      <c r="D411" s="12" t="s">
        <v>508</v>
      </c>
    </row>
    <row r="412">
      <c r="A412" s="5">
        <f>HYPERLINK("https://www.oit.va.gov/Services/TRM/ToolPage.aspx?tid=6186^","RefWorks (Write-N-Cite)")</f>
      </c>
      <c r="B412" s="4" t="s">
        <v>297</v>
      </c>
      <c r="C412" s="9" t="s">
        <v>6</v>
      </c>
      <c r="D412" s="12" t="s">
        <v>509</v>
      </c>
    </row>
    <row r="413">
      <c r="A413" s="5">
        <f>HYPERLINK("https://www.oit.va.gov/Services/TRM/ToolPage.aspx?tid=10567^","Replay Markup Language (RML) Utilities for Structured Query Language (SQL) Server")</f>
      </c>
      <c r="B413" s="4" t="s">
        <v>5</v>
      </c>
      <c r="C413" s="9" t="s">
        <v>6</v>
      </c>
      <c r="D413" s="12" t="s">
        <v>510</v>
      </c>
    </row>
    <row r="414">
      <c r="A414" s="5">
        <f>HYPERLINK("https://www.oit.va.gov/Services/TRM/ToolPage.aspx?tid=10586^","Richcopy")</f>
      </c>
      <c r="B414" s="4" t="s">
        <v>5</v>
      </c>
      <c r="C414" s="9" t="s">
        <v>6</v>
      </c>
      <c r="D414" s="12" t="s">
        <v>511</v>
      </c>
    </row>
    <row r="415">
      <c r="A415" s="5">
        <f>HYPERLINK("https://www.oit.va.gov/Services/TRM/ToolPage.aspx?tid=16671^","RICOH THETA Application (App)")</f>
      </c>
      <c r="B415" s="4" t="s">
        <v>512</v>
      </c>
      <c r="C415" s="9" t="s">
        <v>6</v>
      </c>
      <c r="D415" s="12" t="s">
        <v>513</v>
      </c>
    </row>
    <row r="416">
      <c r="A416" s="5">
        <f>HYPERLINK("https://www.oit.va.gov/Services/TRM/ToolPage.aspx?tid=6127^","ScandAll Pro")</f>
      </c>
      <c r="B416" s="4" t="s">
        <v>478</v>
      </c>
      <c r="C416" s="9" t="s">
        <v>6</v>
      </c>
      <c r="D416" s="12" t="s">
        <v>514</v>
      </c>
    </row>
    <row r="417">
      <c r="A417" s="5">
        <f>HYPERLINK("https://www.oit.va.gov/Services/TRM/ToolPage.aspx?tid=14069^","Single Sign-on (SSO)")</f>
      </c>
      <c r="B417" s="4" t="s">
        <v>515</v>
      </c>
      <c r="C417" s="9" t="s">
        <v>6</v>
      </c>
      <c r="D417" s="12" t="s">
        <v>516</v>
      </c>
    </row>
    <row r="418">
      <c r="A418" s="5">
        <f>HYPERLINK("https://www.oit.va.gov/Services/TRM/ToolPage.aspx?tid=7278^","Spectrum Protect for Workstations")</f>
      </c>
      <c r="B418" s="4" t="s">
        <v>233</v>
      </c>
      <c r="C418" s="9" t="s">
        <v>6</v>
      </c>
      <c r="D418" s="12" t="s">
        <v>517</v>
      </c>
    </row>
    <row r="419">
      <c r="A419" s="5">
        <f>HYPERLINK("https://www.oit.va.gov/Services/TRM/ToolPage.aspx?tid=7007^","Spring.NET")</f>
      </c>
      <c r="B419" s="4" t="s">
        <v>518</v>
      </c>
      <c r="C419" s="9" t="s">
        <v>6</v>
      </c>
      <c r="D419" s="12" t="s">
        <v>519</v>
      </c>
    </row>
    <row r="420">
      <c r="A420" s="5">
        <f>HYPERLINK("https://www.oit.va.gov/Services/TRM/ToolPage.aspx?tid=10504^","TeraCopy")</f>
      </c>
      <c r="B420" s="4" t="s">
        <v>520</v>
      </c>
      <c r="C420" s="9" t="s">
        <v>6</v>
      </c>
      <c r="D420" s="12" t="s">
        <v>521</v>
      </c>
    </row>
    <row r="421">
      <c r="A421" s="5">
        <f>HYPERLINK("https://www.oit.va.gov/Services/TRM/ToolPage.aspx?tid=7072^","Webtrends Analytics")</f>
      </c>
      <c r="B421" s="4" t="s">
        <v>522</v>
      </c>
      <c r="C421" s="9" t="s">
        <v>6</v>
      </c>
      <c r="D421" s="12" t="s">
        <v>523</v>
      </c>
    </row>
    <row r="422">
      <c r="A422" s="5">
        <f>HYPERLINK("https://www.oit.va.gov/Services/TRM/ToolPage.aspx?tid=6785^","Zetafax")</f>
      </c>
      <c r="B422" s="4" t="s">
        <v>524</v>
      </c>
      <c r="C422" s="9" t="s">
        <v>6</v>
      </c>
      <c r="D422" s="12" t="s">
        <v>525</v>
      </c>
    </row>
    <row r="423">
      <c r="A423" s="5">
        <f>HYPERLINK("https://www.oit.va.gov/Services/TRM/ToolPage.aspx?tid=11645^","Zoom for Government (Desktop)")</f>
      </c>
      <c r="B423" s="4" t="s">
        <v>526</v>
      </c>
      <c r="C423" s="9" t="s">
        <v>6</v>
      </c>
      <c r="D423" s="12" t="s">
        <v>527</v>
      </c>
    </row>
    <row r="424">
      <c r="A424" s="5">
        <f>HYPERLINK("https://www.oit.va.gov/Services/TRM/ToolPage.aspx?tid=13277^","Adobe Creative Cloud Packager (CCP)")</f>
      </c>
      <c r="B424" s="4" t="s">
        <v>110</v>
      </c>
      <c r="C424" s="9" t="s">
        <v>6</v>
      </c>
      <c r="D424" s="12" t="s">
        <v>528</v>
      </c>
    </row>
    <row r="425">
      <c r="A425" s="5">
        <f>HYPERLINK("https://www.oit.va.gov/Services/TRM/ToolPage.aspx?tid=5134^","Adobe LiveCycle")</f>
      </c>
      <c r="B425" s="4" t="s">
        <v>110</v>
      </c>
      <c r="C425" s="9" t="s">
        <v>6</v>
      </c>
      <c r="D425" s="12" t="s">
        <v>24</v>
      </c>
    </row>
    <row r="426">
      <c r="A426" s="5">
        <f>HYPERLINK("https://www.oit.va.gov/Services/TRM/ToolPage.aspx?tid=13915^","Azure Cosmos Database (DB) Open Database Connectivity (ODBC) Driver")</f>
      </c>
      <c r="B426" s="4" t="s">
        <v>5</v>
      </c>
      <c r="C426" s="9" t="s">
        <v>6</v>
      </c>
      <c r="D426" s="12" t="s">
        <v>529</v>
      </c>
    </row>
    <row r="427">
      <c r="A427" s="5">
        <f>HYPERLINK("https://www.oit.va.gov/Services/TRM/ToolPage.aspx?tid=15933^","Azure Data Factory (ADF)")</f>
      </c>
      <c r="B427" s="4" t="s">
        <v>5</v>
      </c>
      <c r="C427" s="9" t="s">
        <v>6</v>
      </c>
      <c r="D427" s="12" t="s">
        <v>530</v>
      </c>
    </row>
    <row r="428">
      <c r="A428" s="5">
        <f>HYPERLINK("https://www.oit.va.gov/Services/TRM/ToolPage.aspx?tid=16341^","Azure Functions Core Tools")</f>
      </c>
      <c r="B428" s="4" t="s">
        <v>5</v>
      </c>
      <c r="C428" s="9" t="s">
        <v>6</v>
      </c>
      <c r="D428" s="12" t="s">
        <v>531</v>
      </c>
    </row>
    <row r="429">
      <c r="A429" s="5">
        <f>HYPERLINK("https://www.oit.va.gov/Services/TRM/ToolPage.aspx?tid=15384^","Azurite")</f>
      </c>
      <c r="B429" s="4" t="s">
        <v>5</v>
      </c>
      <c r="C429" s="9" t="s">
        <v>6</v>
      </c>
      <c r="D429" s="12" t="s">
        <v>532</v>
      </c>
    </row>
    <row r="430">
      <c r="A430" s="5">
        <f>HYPERLINK("https://www.oit.va.gov/Services/TRM/ToolPage.aspx?tid=15244^","Bing Wallpaper")</f>
      </c>
      <c r="B430" s="4" t="s">
        <v>5</v>
      </c>
      <c r="C430" s="9" t="s">
        <v>6</v>
      </c>
      <c r="D430" s="12" t="s">
        <v>533</v>
      </c>
    </row>
    <row r="431">
      <c r="A431" s="5">
        <f>HYPERLINK("https://www.oit.va.gov/Services/TRM/ToolPage.aspx?tid=6946^","BizFlow Plus Business Process Management (BPM) Suite")</f>
      </c>
      <c r="B431" s="4" t="s">
        <v>534</v>
      </c>
      <c r="C431" s="9" t="s">
        <v>6</v>
      </c>
      <c r="D431" s="12" t="s">
        <v>535</v>
      </c>
    </row>
    <row r="432">
      <c r="A432" s="5">
        <f>HYPERLINK("https://www.oit.va.gov/Services/TRM/ToolPage.aspx?tid=13849^","DebugBar")</f>
      </c>
      <c r="B432" s="4" t="s">
        <v>536</v>
      </c>
      <c r="C432" s="9" t="s">
        <v>6</v>
      </c>
      <c r="D432" s="12" t="s">
        <v>537</v>
      </c>
    </row>
    <row r="433">
      <c r="A433" s="5">
        <f>HYPERLINK("https://www.oit.va.gov/Services/TRM/ToolPage.aspx?tid=16606^","DISCOVERY WORKBENCH")</f>
      </c>
      <c r="B433" s="4" t="s">
        <v>538</v>
      </c>
      <c r="C433" s="9" t="s">
        <v>6</v>
      </c>
      <c r="D433" s="12" t="s">
        <v>539</v>
      </c>
    </row>
    <row r="434">
      <c r="A434" s="5">
        <f>HYPERLINK("https://www.oit.va.gov/Services/TRM/ToolPage.aspx?tid=10378^","HP Multipath Input/Output (MPIO) Device Specific Module (DSM) Manager")</f>
      </c>
      <c r="B434" s="4" t="s">
        <v>302</v>
      </c>
      <c r="C434" s="9" t="s">
        <v>6</v>
      </c>
      <c r="D434" s="12" t="s">
        <v>540</v>
      </c>
    </row>
    <row r="435">
      <c r="A435" s="5">
        <f>HYPERLINK("https://www.oit.va.gov/Services/TRM/ToolPage.aspx?tid=5022^","i-net Java Database Connectivity (JDBC) Drivers")</f>
      </c>
      <c r="B435" s="4" t="s">
        <v>541</v>
      </c>
      <c r="C435" s="9" t="s">
        <v>6</v>
      </c>
      <c r="D435" s="12" t="s">
        <v>542</v>
      </c>
    </row>
    <row r="436">
      <c r="A436" s="5">
        <f>HYPERLINK("https://www.oit.va.gov/Services/TRM/ToolPage.aspx?tid=9444^","Information Technology Management Center (ITMC) Discovery")</f>
      </c>
      <c r="B436" s="4" t="s">
        <v>543</v>
      </c>
      <c r="C436" s="9" t="s">
        <v>6</v>
      </c>
      <c r="D436" s="12" t="s">
        <v>544</v>
      </c>
    </row>
    <row r="437">
      <c r="A437" s="5">
        <f>HYPERLINK("https://www.oit.va.gov/Services/TRM/ToolPage.aspx?tid=10972^","Kerberos Configuration Manager for Structured Query Language (SQL) Server")</f>
      </c>
      <c r="B437" s="4" t="s">
        <v>5</v>
      </c>
      <c r="C437" s="9" t="s">
        <v>6</v>
      </c>
      <c r="D437" s="12" t="s">
        <v>545</v>
      </c>
    </row>
    <row r="438">
      <c r="A438" s="5">
        <f>HYPERLINK("https://www.oit.va.gov/Services/TRM/ToolPage.aspx?tid=13299^","Migration Toolkit")</f>
      </c>
      <c r="B438" s="4" t="s">
        <v>546</v>
      </c>
      <c r="C438" s="9" t="s">
        <v>6</v>
      </c>
      <c r="D438" s="12" t="s">
        <v>547</v>
      </c>
    </row>
    <row r="439">
      <c r="A439" s="5">
        <f>HYPERLINK("https://www.oit.va.gov/Services/TRM/HardwarePage.aspx?tid=7816^","Qmatic Suite")</f>
      </c>
      <c r="B439" s="4" t="s">
        <v>548</v>
      </c>
      <c r="C439" s="9" t="s">
        <v>6</v>
      </c>
      <c r="D439" s="12" t="s">
        <v>549</v>
      </c>
    </row>
    <row r="440">
      <c r="A440" s="5">
        <f>HYPERLINK("https://www.oit.va.gov/Services/TRM/ToolPage.aspx?tid=9782^","Regenstrief Logical Observation Identifiers Names and Codes (LOINC) Mapping Assistant (RELMA)")</f>
      </c>
      <c r="B440" s="4" t="s">
        <v>550</v>
      </c>
      <c r="C440" s="9" t="s">
        <v>6</v>
      </c>
      <c r="D440" s="12" t="s">
        <v>551</v>
      </c>
    </row>
    <row r="441">
      <c r="A441" s="5">
        <f>HYPERLINK("https://www.oit.va.gov/Services/TRM/ToolPage.aspx?tid=14365^","ShareX")</f>
      </c>
      <c r="B441" s="4" t="s">
        <v>5</v>
      </c>
      <c r="C441" s="9" t="s">
        <v>6</v>
      </c>
      <c r="D441" s="12" t="s">
        <v>552</v>
      </c>
    </row>
    <row r="442">
      <c r="A442" s="5">
        <f>HYPERLINK("https://www.oit.va.gov/Services/TRM/ToolPage.aspx?tid=7428^","Spread.NET")</f>
      </c>
      <c r="B442" s="4" t="s">
        <v>553</v>
      </c>
      <c r="C442" s="9" t="s">
        <v>6</v>
      </c>
      <c r="D442" s="12" t="s">
        <v>554</v>
      </c>
    </row>
    <row r="443">
      <c r="A443" s="5">
        <f>HYPERLINK("https://www.oit.va.gov/Services/TRM/ToolPage.aspx?tid=8125^","StyleCop")</f>
      </c>
      <c r="B443" s="4" t="s">
        <v>555</v>
      </c>
      <c r="C443" s="9" t="s">
        <v>6</v>
      </c>
      <c r="D443" s="12" t="s">
        <v>556</v>
      </c>
    </row>
    <row r="444">
      <c r="A444" s="5">
        <f>HYPERLINK("https://www.oit.va.gov/Services/TRM/ToolPage.aspx?tid=10739^","System Center Data Protection Manager")</f>
      </c>
      <c r="B444" s="4" t="s">
        <v>5</v>
      </c>
      <c r="C444" s="9" t="s">
        <v>6</v>
      </c>
      <c r="D444" s="12" t="s">
        <v>214</v>
      </c>
    </row>
    <row r="445">
      <c r="A445" s="5">
        <f>HYPERLINK("https://www.oit.va.gov/Services/TRM/ToolPage.aspx?tid=9636^","Uniform Resource Locator (URL) Rewrite")</f>
      </c>
      <c r="B445" s="4" t="s">
        <v>5</v>
      </c>
      <c r="C445" s="9" t="s">
        <v>6</v>
      </c>
      <c r="D445" s="12" t="s">
        <v>557</v>
      </c>
    </row>
    <row r="446">
      <c r="A446" s="5">
        <f>HYPERLINK("https://www.oit.va.gov/Services/TRM/ToolPage.aspx?tid=11326^","Windows Cache Extension for PHP")</f>
      </c>
      <c r="B446" s="4" t="s">
        <v>5</v>
      </c>
      <c r="C446" s="9" t="s">
        <v>6</v>
      </c>
      <c r="D446" s="12" t="s">
        <v>558</v>
      </c>
    </row>
    <row r="447">
      <c r="A447" s="5">
        <f>HYPERLINK("https://www.oit.va.gov/Services/TRM/ToolPage.aspx?tid=9841^","1E Client")</f>
      </c>
      <c r="B447" s="4" t="s">
        <v>559</v>
      </c>
      <c r="C447" s="9" t="s">
        <v>6</v>
      </c>
      <c r="D447" s="12" t="s">
        <v>560</v>
      </c>
    </row>
    <row r="448">
      <c r="A448" s="5">
        <f>HYPERLINK("https://www.oit.va.gov/Services/TRM/ToolPage.aspx?tid=13285^","ABACUS Calculation Software")</f>
      </c>
      <c r="B448" s="4" t="s">
        <v>561</v>
      </c>
      <c r="C448" s="9" t="s">
        <v>6</v>
      </c>
      <c r="D448" s="12" t="s">
        <v>562</v>
      </c>
    </row>
    <row r="449">
      <c r="A449" s="5">
        <f>HYPERLINK("https://www.oit.va.gov/Services/TRM/ToolPage.aspx?tid=13346^","Adium")</f>
      </c>
      <c r="B449" s="4" t="s">
        <v>563</v>
      </c>
      <c r="C449" s="9" t="s">
        <v>6</v>
      </c>
      <c r="D449" s="12" t="s">
        <v>564</v>
      </c>
    </row>
    <row r="450">
      <c r="A450" s="5">
        <f>HYPERLINK("https://www.oit.va.gov/Services/TRM/ToolPage.aspx?tid=8567^","Adxstudio Portals")</f>
      </c>
      <c r="B450" s="4" t="s">
        <v>565</v>
      </c>
      <c r="C450" s="9" t="s">
        <v>6</v>
      </c>
      <c r="D450" s="12" t="s">
        <v>566</v>
      </c>
    </row>
    <row r="451">
      <c r="A451" s="5">
        <f>HYPERLINK("https://www.oit.va.gov/Services/TRM/ToolPage.aspx?tid=10363^","AnkhSVN")</f>
      </c>
      <c r="B451" s="4" t="s">
        <v>567</v>
      </c>
      <c r="C451" s="9" t="s">
        <v>6</v>
      </c>
      <c r="D451" s="12" t="s">
        <v>568</v>
      </c>
    </row>
    <row r="452">
      <c r="A452" s="5">
        <f>HYPERLINK("https://www.oit.va.gov/Services/TRM/ToolPage.aspx?tid=7148^","Aspose.Words for JasperReports")</f>
      </c>
      <c r="B452" s="4" t="s">
        <v>368</v>
      </c>
      <c r="C452" s="9" t="s">
        <v>6</v>
      </c>
      <c r="D452" s="12" t="s">
        <v>569</v>
      </c>
    </row>
    <row r="453">
      <c r="A453" s="5">
        <f>HYPERLINK("https://www.oit.va.gov/Services/TRM/ToolPage.aspx?tid=7149^","Aspose.Words for Java")</f>
      </c>
      <c r="B453" s="4" t="s">
        <v>368</v>
      </c>
      <c r="C453" s="9" t="s">
        <v>6</v>
      </c>
      <c r="D453" s="12" t="s">
        <v>570</v>
      </c>
    </row>
    <row r="454">
      <c r="A454" s="5">
        <f>HYPERLINK("https://www.oit.va.gov/Services/TRM/ToolPage.aspx?tid=9814^","Associated Press (AP) StyleGuard for Word")</f>
      </c>
      <c r="B454" s="4" t="s">
        <v>571</v>
      </c>
      <c r="C454" s="9" t="s">
        <v>6</v>
      </c>
      <c r="D454" s="12" t="s">
        <v>572</v>
      </c>
    </row>
    <row r="455">
      <c r="A455" s="5">
        <f>HYPERLINK("https://www.oit.va.gov/Services/TRM/ToolPage.aspx?tid=13738^","AstroGrep")</f>
      </c>
      <c r="B455" s="4" t="s">
        <v>573</v>
      </c>
      <c r="C455" s="9" t="s">
        <v>6</v>
      </c>
      <c r="D455" s="12" t="s">
        <v>574</v>
      </c>
    </row>
    <row r="456">
      <c r="A456" s="5">
        <f>HYPERLINK("https://www.oit.va.gov/Services/TRM/ToolPage.aspx?tid=7090^","AsureSpace Meeting Room Manager")</f>
      </c>
      <c r="B456" s="4" t="s">
        <v>575</v>
      </c>
      <c r="C456" s="9" t="s">
        <v>6</v>
      </c>
      <c r="D456" s="12" t="s">
        <v>576</v>
      </c>
    </row>
    <row r="457">
      <c r="A457" s="5">
        <f>HYPERLINK("https://www.oit.va.gov/Services/TRM/ToolPage.aspx?tid=6458^","AutoHotkey")</f>
      </c>
      <c r="B457" s="4" t="s">
        <v>577</v>
      </c>
      <c r="C457" s="9" t="s">
        <v>6</v>
      </c>
      <c r="D457" s="12" t="s">
        <v>578</v>
      </c>
    </row>
    <row r="458">
      <c r="A458" s="5">
        <f>HYPERLINK("https://www.oit.va.gov/Services/TRM/ToolPage.aspx?tid=10147^","BatchPatch")</f>
      </c>
      <c r="B458" s="4" t="s">
        <v>579</v>
      </c>
      <c r="C458" s="9" t="s">
        <v>6</v>
      </c>
      <c r="D458" s="12" t="s">
        <v>580</v>
      </c>
    </row>
    <row r="459">
      <c r="A459" s="5">
        <f>HYPERLINK("https://www.oit.va.gov/Services/TRM/ToolPage.aspx?tid=15172^","BrowsingHistoryView")</f>
      </c>
      <c r="B459" s="4" t="s">
        <v>581</v>
      </c>
      <c r="C459" s="9" t="s">
        <v>6</v>
      </c>
      <c r="D459" s="12" t="s">
        <v>582</v>
      </c>
    </row>
    <row r="460">
      <c r="A460" s="5">
        <f>HYPERLINK("https://www.oit.va.gov/Services/TRM/ToolPage.aspx?tid=11805^","Centrify Endpoint Services")</f>
      </c>
      <c r="B460" s="4" t="s">
        <v>583</v>
      </c>
      <c r="C460" s="9" t="s">
        <v>6</v>
      </c>
      <c r="D460" s="12" t="s">
        <v>584</v>
      </c>
    </row>
    <row r="461">
      <c r="A461" s="5">
        <f>HYPERLINK("https://www.oit.va.gov/Services/TRM/ToolPage.aspx?tid=10623^","Change Healthcare Study Share")</f>
      </c>
      <c r="B461" s="4" t="s">
        <v>585</v>
      </c>
      <c r="C461" s="9" t="s">
        <v>6</v>
      </c>
      <c r="D461" s="12" t="s">
        <v>586</v>
      </c>
    </row>
    <row r="462">
      <c r="A462" s="5">
        <f>HYPERLINK("https://www.oit.va.gov/Services/TRM/ToolPage.aspx?tid=13942^","Chartnado")</f>
      </c>
      <c r="B462" s="4" t="s">
        <v>587</v>
      </c>
      <c r="C462" s="9" t="s">
        <v>6</v>
      </c>
      <c r="D462" s="12" t="s">
        <v>588</v>
      </c>
    </row>
    <row r="463">
      <c r="A463" s="5">
        <f>HYPERLINK("https://www.oit.va.gov/Services/TRM/ToolPage.aspx?tid=5896^","Cisco Agent Desktop")</f>
      </c>
      <c r="B463" s="4" t="s">
        <v>353</v>
      </c>
      <c r="C463" s="9" t="s">
        <v>6</v>
      </c>
      <c r="D463" s="12" t="s">
        <v>589</v>
      </c>
    </row>
    <row r="464">
      <c r="A464" s="5">
        <f>HYPERLINK("https://www.oit.va.gov/Services/TRM/ToolPage.aspx?tid=5899^","Cisco Internet Protocol (IP) Communicator")</f>
      </c>
      <c r="B464" s="4" t="s">
        <v>353</v>
      </c>
      <c r="C464" s="9" t="s">
        <v>6</v>
      </c>
      <c r="D464" s="12" t="s">
        <v>590</v>
      </c>
    </row>
    <row r="465">
      <c r="A465" s="5">
        <f>HYPERLINK("https://www.oit.va.gov/Services/TRM/ToolPage.aspx?tid=13994^","CompactView")</f>
      </c>
      <c r="B465" s="4" t="s">
        <v>591</v>
      </c>
      <c r="C465" s="9" t="s">
        <v>6</v>
      </c>
      <c r="D465" s="12" t="s">
        <v>592</v>
      </c>
    </row>
    <row r="466">
      <c r="A466" s="5">
        <f>HYPERLINK("https://www.oit.va.gov/Services/TRM/ToolPage.aspx?tid=8991^","Connect for Office")</f>
      </c>
      <c r="B466" s="4" t="s">
        <v>593</v>
      </c>
      <c r="C466" s="9" t="s">
        <v>6</v>
      </c>
      <c r="D466" s="12" t="s">
        <v>594</v>
      </c>
    </row>
    <row r="467">
      <c r="A467" s="5">
        <f>HYPERLINK("https://www.oit.va.gov/Services/TRM/ToolPage.aspx?tid=13075^","Cool Web Shredder (CWShredder)")</f>
      </c>
      <c r="B467" s="4" t="s">
        <v>595</v>
      </c>
      <c r="C467" s="9" t="s">
        <v>6</v>
      </c>
      <c r="D467" s="12" t="s">
        <v>596</v>
      </c>
    </row>
    <row r="468">
      <c r="A468" s="5">
        <f>HYPERLINK("https://www.oit.va.gov/Services/TRM/ToolPage.aspx?tid=16143^","Databricks Open Database Connectivity (ODBC) Driver")</f>
      </c>
      <c r="B468" s="4" t="s">
        <v>597</v>
      </c>
      <c r="C468" s="9" t="s">
        <v>6</v>
      </c>
      <c r="D468" s="12" t="s">
        <v>598</v>
      </c>
    </row>
    <row r="469">
      <c r="A469" s="5">
        <f>HYPERLINK("https://www.oit.va.gov/Services/TRM/ToolPage.aspx?tid=5943^","Desktop Validator")</f>
      </c>
      <c r="B469" s="4" t="s">
        <v>599</v>
      </c>
      <c r="C469" s="9" t="s">
        <v>6</v>
      </c>
      <c r="D469" s="12" t="s">
        <v>598</v>
      </c>
    </row>
    <row r="470">
      <c r="A470" s="5">
        <f>HYPERLINK("https://www.oit.va.gov/Services/TRM/ToolPage.aspx?tid=10949^","Disk2vhd (Virtual Hard Disk)")</f>
      </c>
      <c r="B470" s="4" t="s">
        <v>600</v>
      </c>
      <c r="C470" s="9" t="s">
        <v>6</v>
      </c>
      <c r="D470" s="12" t="s">
        <v>465</v>
      </c>
    </row>
    <row r="471">
      <c r="A471" s="5">
        <f>HYPERLINK("https://www.oit.va.gov/Services/TRM/ToolPage.aspx?tid=10370^","Doctor Pro 3")</f>
      </c>
      <c r="B471" s="4" t="s">
        <v>601</v>
      </c>
      <c r="C471" s="9" t="s">
        <v>6</v>
      </c>
      <c r="D471" s="12" t="s">
        <v>602</v>
      </c>
    </row>
    <row r="472">
      <c r="A472" s="5">
        <f>HYPERLINK("https://www.oit.va.gov/Services/TRM/ToolPage.aspx?tid=7318^","DOSBox")</f>
      </c>
      <c r="B472" s="4" t="s">
        <v>603</v>
      </c>
      <c r="C472" s="9" t="s">
        <v>6</v>
      </c>
      <c r="D472" s="12" t="s">
        <v>604</v>
      </c>
    </row>
    <row r="473">
      <c r="A473" s="5">
        <f>HYPERLINK("https://www.oit.va.gov/Services/TRM/ToolPage.aspx?tid=14006^","eXtended Relationship Management (XRM) Toolbox")</f>
      </c>
      <c r="B473" s="4" t="s">
        <v>605</v>
      </c>
      <c r="C473" s="9" t="s">
        <v>6</v>
      </c>
      <c r="D473" s="12" t="s">
        <v>141</v>
      </c>
    </row>
    <row r="474">
      <c r="A474" s="5">
        <f>HYPERLINK("https://www.oit.va.gov/Services/TRM/ToolPage.aspx?tid=14649^","ExtractData")</f>
      </c>
      <c r="B474" s="4" t="s">
        <v>606</v>
      </c>
      <c r="C474" s="9" t="s">
        <v>6</v>
      </c>
      <c r="D474" s="12" t="s">
        <v>607</v>
      </c>
    </row>
    <row r="475">
      <c r="A475" s="5">
        <f>HYPERLINK("https://www.oit.va.gov/Services/TRM/ToolPage.aspx?tid=15481^","FaxFinder Client")</f>
      </c>
      <c r="B475" s="4" t="s">
        <v>608</v>
      </c>
      <c r="C475" s="9" t="s">
        <v>6</v>
      </c>
      <c r="D475" s="12" t="s">
        <v>609</v>
      </c>
    </row>
    <row r="476">
      <c r="A476" s="5">
        <f>HYPERLINK("https://www.oit.va.gov/Services/TRM/ToolPage.aspx?tid=7866^","FileHelpers")</f>
      </c>
      <c r="B476" s="4" t="s">
        <v>610</v>
      </c>
      <c r="C476" s="9" t="s">
        <v>6</v>
      </c>
      <c r="D476" s="12" t="s">
        <v>611</v>
      </c>
    </row>
    <row r="477">
      <c r="A477" s="5">
        <f>HYPERLINK("https://www.oit.va.gov/Services/TRM/ToolPage.aspx?tid=10186^","GAITRite")</f>
      </c>
      <c r="B477" s="4" t="s">
        <v>612</v>
      </c>
      <c r="C477" s="9" t="s">
        <v>6</v>
      </c>
      <c r="D477" s="12" t="s">
        <v>613</v>
      </c>
    </row>
    <row r="478">
      <c r="A478" s="5">
        <f>HYPERLINK("https://www.oit.va.gov/Services/TRM/ToolPage.aspx?tid=9372^","G-Studio")</f>
      </c>
      <c r="B478" s="4" t="s">
        <v>614</v>
      </c>
      <c r="C478" s="9" t="s">
        <v>6</v>
      </c>
      <c r="D478" s="12" t="s">
        <v>615</v>
      </c>
    </row>
    <row r="479">
      <c r="A479" s="5">
        <f>HYPERLINK("https://www.oit.va.gov/Services/TRM/ToolPage.aspx?tid=5990^","Helios TextPad")</f>
      </c>
      <c r="B479" s="4" t="s">
        <v>616</v>
      </c>
      <c r="C479" s="9" t="s">
        <v>6</v>
      </c>
      <c r="D479" s="12" t="s">
        <v>617</v>
      </c>
    </row>
    <row r="480">
      <c r="A480" s="5">
        <f>HYPERLINK("https://www.oit.va.gov/Services/TRM/ToolPage.aspx?tid=10851^","Hewlett Packard (HP) Multipath Input/Output (MPIO) Full Featured Device Specific Module (DSM) for P6x00/EVA4x00/6x00/8x00 families of Disk Arrays")</f>
      </c>
      <c r="B480" s="4" t="s">
        <v>302</v>
      </c>
      <c r="C480" s="9" t="s">
        <v>6</v>
      </c>
      <c r="D480" s="12" t="s">
        <v>618</v>
      </c>
    </row>
    <row r="481">
      <c r="A481" s="5">
        <f>HYPERLINK("https://www.oit.va.gov/Services/TRM/ToolPage.aspx?tid=14927^","Hitachi Command Suite Common Component")</f>
      </c>
      <c r="B481" s="4" t="s">
        <v>619</v>
      </c>
      <c r="C481" s="9" t="s">
        <v>6</v>
      </c>
      <c r="D481" s="12" t="s">
        <v>620</v>
      </c>
    </row>
    <row r="482">
      <c r="A482" s="5">
        <f>HYPERLINK("https://www.oit.va.gov/Services/TRM/ToolPage.aspx?tid=10512^","ICS Chartr 200 Videonystagmography (VNG) Software")</f>
      </c>
      <c r="B482" s="4" t="s">
        <v>621</v>
      </c>
      <c r="C482" s="9" t="s">
        <v>6</v>
      </c>
      <c r="D482" s="12" t="s">
        <v>622</v>
      </c>
    </row>
    <row r="483">
      <c r="A483" s="5">
        <f>HYPERLINK("https://www.oit.va.gov/Services/TRM/ToolPage.aspx?tid=11182^","Infragistics ActiveThreed Plus")</f>
      </c>
      <c r="B483" s="4" t="s">
        <v>623</v>
      </c>
      <c r="C483" s="9" t="s">
        <v>6</v>
      </c>
      <c r="D483" s="12" t="s">
        <v>624</v>
      </c>
    </row>
    <row r="484">
      <c r="A484" s="5">
        <f>HYPERLINK("https://www.oit.va.gov/Services/TRM/ToolPage.aspx?tid=5820^","Java Tabular Data Stream (jTDS) Java Database Connectivity (JDBC) Driver")</f>
      </c>
      <c r="B484" s="4" t="s">
        <v>625</v>
      </c>
      <c r="C484" s="9" t="s">
        <v>6</v>
      </c>
      <c r="D484" s="12" t="s">
        <v>626</v>
      </c>
    </row>
    <row r="485">
      <c r="A485" s="5">
        <f>HYPERLINK("https://www.oit.va.gov/Services/TRM/ToolPage.aspx?tid=16621^","K8sgpt")</f>
      </c>
      <c r="B485" s="4" t="s">
        <v>627</v>
      </c>
      <c r="C485" s="9" t="s">
        <v>6</v>
      </c>
      <c r="D485" s="12" t="s">
        <v>628</v>
      </c>
    </row>
    <row r="486">
      <c r="A486" s="5">
        <f>HYPERLINK("https://www.oit.va.gov/Services/TRM/ToolPage.aspx?tid=16618^","K8sgpt Operator")</f>
      </c>
      <c r="B486" s="4" t="s">
        <v>627</v>
      </c>
      <c r="C486" s="9" t="s">
        <v>6</v>
      </c>
      <c r="D486" s="12" t="s">
        <v>629</v>
      </c>
    </row>
    <row r="487">
      <c r="A487" s="5">
        <f>HYPERLINK("https://www.oit.va.gov/Services/TRM/ToolPage.aspx?tid=6471^","LOG4NET")</f>
      </c>
      <c r="B487" s="4" t="s">
        <v>630</v>
      </c>
      <c r="C487" s="9" t="s">
        <v>6</v>
      </c>
      <c r="D487" s="12" t="s">
        <v>631</v>
      </c>
    </row>
    <row r="488">
      <c r="A488" s="5">
        <f>HYPERLINK("https://www.oit.va.gov/Services/TRM/ToolPage.aspx?tid=13925^","Mail Merge Tables")</f>
      </c>
      <c r="B488" s="4" t="s">
        <v>632</v>
      </c>
      <c r="C488" s="9" t="s">
        <v>6</v>
      </c>
      <c r="D488" s="12" t="s">
        <v>633</v>
      </c>
    </row>
    <row r="489">
      <c r="A489" s="5">
        <f>HYPERLINK("https://www.oit.va.gov/Services/TRM/ToolPage.aspx?tid=10588^","Media Player Classic - Home Cinema (MPC-HC)")</f>
      </c>
      <c r="B489" s="4" t="s">
        <v>634</v>
      </c>
      <c r="C489" s="9" t="s">
        <v>6</v>
      </c>
      <c r="D489" s="12" t="s">
        <v>635</v>
      </c>
    </row>
    <row r="490">
      <c r="A490" s="5">
        <f>HYPERLINK("https://www.oit.va.gov/Services/TRM/ToolPage.aspx?tid=6064^","Monitor Information Reporting (MIR)")</f>
      </c>
      <c r="B490" s="4" t="s">
        <v>636</v>
      </c>
      <c r="C490" s="9" t="s">
        <v>6</v>
      </c>
      <c r="D490" s="12" t="s">
        <v>637</v>
      </c>
    </row>
    <row r="491">
      <c r="A491" s="5">
        <f>HYPERLINK("https://www.oit.va.gov/Services/TRM/ToolPage.aspx?tid=9761^","MUCheck")</f>
      </c>
      <c r="B491" s="4" t="s">
        <v>638</v>
      </c>
      <c r="C491" s="9" t="s">
        <v>6</v>
      </c>
      <c r="D491" s="12" t="s">
        <v>211</v>
      </c>
    </row>
    <row r="492">
      <c r="A492" s="5">
        <f>HYPERLINK("https://www.oit.va.gov/Services/TRM/ToolPage.aspx?tid=10627^","NHapi")</f>
      </c>
      <c r="B492" s="4" t="s">
        <v>639</v>
      </c>
      <c r="C492" s="9" t="s">
        <v>6</v>
      </c>
      <c r="D492" s="12" t="s">
        <v>640</v>
      </c>
    </row>
    <row r="493">
      <c r="A493" s="5">
        <f>HYPERLINK("https://www.oit.va.gov/Services/TRM/ToolPage.aspx?tid=6487^","Nintex for SharePoint")</f>
      </c>
      <c r="B493" s="4" t="s">
        <v>641</v>
      </c>
      <c r="C493" s="9" t="s">
        <v>6</v>
      </c>
      <c r="D493" s="12" t="s">
        <v>642</v>
      </c>
    </row>
    <row r="494">
      <c r="A494" s="5">
        <f>HYPERLINK("https://www.oit.va.gov/Services/TRM/ToolPage.aspx?tid=16268^","NVIDIA NSight Visual Studio Edition")</f>
      </c>
      <c r="B494" s="4" t="s">
        <v>493</v>
      </c>
      <c r="C494" s="9" t="s">
        <v>6</v>
      </c>
      <c r="D494" s="12" t="s">
        <v>141</v>
      </c>
    </row>
    <row r="495">
      <c r="A495" s="5">
        <f>HYPERLINK("https://www.oit.va.gov/Services/TRM/ToolPage.aspx?tid=10816^","Occupational Health Manager (OHM)")</f>
      </c>
      <c r="B495" s="4" t="s">
        <v>643</v>
      </c>
      <c r="C495" s="9" t="s">
        <v>6</v>
      </c>
      <c r="D495" s="12" t="s">
        <v>644</v>
      </c>
    </row>
    <row r="496">
      <c r="A496" s="5">
        <f>HYPERLINK("https://www.oit.va.gov/Services/TRM/StandardPage.aspx?tid=5249^","Office Open XML")</f>
      </c>
      <c r="B496" s="4" t="s">
        <v>645</v>
      </c>
      <c r="C496" s="9" t="s">
        <v>6</v>
      </c>
      <c r="D496" s="12" t="s">
        <v>646</v>
      </c>
    </row>
    <row r="497">
      <c r="A497" s="5">
        <f>HYPERLINK("https://www.oit.va.gov/Services/TRM/ToolPage.aspx?tid=15858^","OpenSilver")</f>
      </c>
      <c r="B497" s="4" t="s">
        <v>647</v>
      </c>
      <c r="C497" s="9" t="s">
        <v>6</v>
      </c>
      <c r="D497" s="12" t="s">
        <v>648</v>
      </c>
    </row>
    <row r="498">
      <c r="A498" s="5">
        <f>HYPERLINK("https://www.oit.va.gov/Services/TRM/ToolPage.aspx?tid=7761^","OpenSolver")</f>
      </c>
      <c r="B498" s="4" t="s">
        <v>649</v>
      </c>
      <c r="C498" s="9" t="s">
        <v>6</v>
      </c>
      <c r="D498" s="12" t="s">
        <v>650</v>
      </c>
    </row>
    <row r="499">
      <c r="A499" s="5">
        <f>HYPERLINK("https://www.oit.va.gov/Services/TRM/ToolPage.aspx?tid=11243^","Opentext Exceed")</f>
      </c>
      <c r="B499" s="4" t="s">
        <v>651</v>
      </c>
      <c r="C499" s="9" t="s">
        <v>6</v>
      </c>
      <c r="D499" s="12" t="s">
        <v>652</v>
      </c>
    </row>
    <row r="500">
      <c r="A500" s="5">
        <f>HYPERLINK("https://www.oit.va.gov/Services/TRM/ToolPage.aspx?tid=14239^","Oracle Developer Tools for Visual Studio (ODT)")</f>
      </c>
      <c r="B500" s="4" t="s">
        <v>136</v>
      </c>
      <c r="C500" s="9" t="s">
        <v>6</v>
      </c>
      <c r="D500" s="12" t="s">
        <v>653</v>
      </c>
    </row>
    <row r="501">
      <c r="A501" s="5">
        <f>HYPERLINK("https://www.oit.va.gov/Services/TRM/ToolPage.aspx?tid=264^","Oracle Open Database Connectivity (ODBC) Driver")</f>
      </c>
      <c r="B501" s="4" t="s">
        <v>136</v>
      </c>
      <c r="C501" s="9" t="s">
        <v>6</v>
      </c>
      <c r="D501" s="12" t="s">
        <v>654</v>
      </c>
    </row>
    <row r="502">
      <c r="A502" s="5">
        <f>HYPERLINK("https://www.oit.va.gov/Services/TRM/ToolPage.aspx?tid=14504^","Orchestrator Integration Pack for ServiceNow")</f>
      </c>
      <c r="B502" s="4" t="s">
        <v>655</v>
      </c>
      <c r="C502" s="9" t="s">
        <v>6</v>
      </c>
      <c r="D502" s="12" t="s">
        <v>656</v>
      </c>
    </row>
    <row r="503">
      <c r="A503" s="5">
        <f>HYPERLINK("https://www.oit.va.gov/Services/TRM/ToolPage.aspx?tid=11584^","PolicyTech WordModule Plus Plugin")</f>
      </c>
      <c r="B503" s="4" t="s">
        <v>657</v>
      </c>
      <c r="C503" s="9" t="s">
        <v>6</v>
      </c>
      <c r="D503" s="12" t="s">
        <v>658</v>
      </c>
    </row>
    <row r="504">
      <c r="A504" s="5">
        <f>HYPERLINK("https://www.oit.va.gov/Services/TRM/ToolPage.aspx?tid=5694^","PowerDVD")</f>
      </c>
      <c r="B504" s="4" t="s">
        <v>659</v>
      </c>
      <c r="C504" s="9" t="s">
        <v>6</v>
      </c>
      <c r="D504" s="12" t="s">
        <v>225</v>
      </c>
    </row>
    <row r="505">
      <c r="A505" s="5">
        <f>HYPERLINK("https://www.oit.va.gov/Services/TRM/ToolPage.aspx?tid=16710^","PowerShell for Visual Studio Code (VS Code)")</f>
      </c>
      <c r="B505" s="4" t="s">
        <v>5</v>
      </c>
      <c r="C505" s="9" t="s">
        <v>6</v>
      </c>
      <c r="D505" s="12" t="s">
        <v>660</v>
      </c>
    </row>
    <row r="506">
      <c r="A506" s="5">
        <f>HYPERLINK("https://www.oit.va.gov/Services/TRM/ToolPage.aspx?tid=6608^","Precision Helper")</f>
      </c>
      <c r="B506" s="4" t="s">
        <v>661</v>
      </c>
      <c r="C506" s="9" t="s">
        <v>6</v>
      </c>
      <c r="D506" s="12" t="s">
        <v>662</v>
      </c>
    </row>
    <row r="507">
      <c r="A507" s="5">
        <f>HYPERLINK("https://www.oit.va.gov/Services/TRM/ToolPage.aspx?tid=15089^","Primavera Autovue")</f>
      </c>
      <c r="B507" s="4" t="s">
        <v>136</v>
      </c>
      <c r="C507" s="9" t="s">
        <v>6</v>
      </c>
      <c r="D507" s="12" t="s">
        <v>663</v>
      </c>
    </row>
    <row r="508">
      <c r="A508" s="5">
        <f>HYPERLINK("https://www.oit.va.gov/Services/TRM/ToolPage.aspx?tid=7664^","Project Cost")</f>
      </c>
      <c r="B508" s="4" t="s">
        <v>664</v>
      </c>
      <c r="C508" s="9" t="s">
        <v>6</v>
      </c>
      <c r="D508" s="12" t="s">
        <v>665</v>
      </c>
    </row>
    <row r="509">
      <c r="A509" s="5">
        <f>HYPERLINK("https://www.oit.va.gov/Services/TRM/ToolPage.aspx?tid=6114^","PsychCorpCenter")</f>
      </c>
      <c r="B509" s="4" t="s">
        <v>666</v>
      </c>
      <c r="C509" s="9" t="s">
        <v>6</v>
      </c>
      <c r="D509" s="12" t="s">
        <v>667</v>
      </c>
    </row>
    <row r="510">
      <c r="A510" s="5">
        <f>HYPERLINK("https://www.oit.va.gov/Services/TRM/ToolPage.aspx?tid=16626^","qdrant")</f>
      </c>
      <c r="B510" s="4" t="s">
        <v>627</v>
      </c>
      <c r="C510" s="9" t="s">
        <v>6</v>
      </c>
      <c r="D510" s="12" t="s">
        <v>668</v>
      </c>
    </row>
    <row r="511">
      <c r="A511" s="5">
        <f>HYPERLINK("https://www.oit.va.gov/Services/TRM/ToolPage.aspx?tid=16627^","qdrant client")</f>
      </c>
      <c r="B511" s="4" t="s">
        <v>627</v>
      </c>
      <c r="C511" s="9" t="s">
        <v>6</v>
      </c>
      <c r="D511" s="12" t="s">
        <v>669</v>
      </c>
    </row>
    <row r="512">
      <c r="A512" s="5">
        <f>HYPERLINK("https://www.oit.va.gov/Services/TRM/ToolPage.aspx?tid=11748^","Quartz.Net")</f>
      </c>
      <c r="B512" s="4" t="s">
        <v>378</v>
      </c>
      <c r="C512" s="9" t="s">
        <v>6</v>
      </c>
      <c r="D512" s="12" t="s">
        <v>670</v>
      </c>
    </row>
    <row r="513">
      <c r="A513" s="5">
        <f>HYPERLINK("https://www.oit.va.gov/Services/TRM/ToolPage.aspx?tid=7548^","ReSharper")</f>
      </c>
      <c r="B513" s="4" t="s">
        <v>671</v>
      </c>
      <c r="C513" s="9" t="s">
        <v>6</v>
      </c>
      <c r="D513" s="12" t="s">
        <v>672</v>
      </c>
    </row>
    <row r="514">
      <c r="A514" s="5">
        <f>HYPERLINK("https://www.oit.va.gov/Services/TRM/ToolPage.aspx?tid=8639^","Risk+")</f>
      </c>
      <c r="B514" s="4" t="s">
        <v>673</v>
      </c>
      <c r="C514" s="9" t="s">
        <v>6</v>
      </c>
      <c r="D514" s="12" t="s">
        <v>674</v>
      </c>
    </row>
    <row r="515">
      <c r="A515" s="5">
        <f>HYPERLINK("https://www.oit.va.gov/Services/TRM/ToolPage.aspx?tid=7397^","Riverpoint Writer")</f>
      </c>
      <c r="B515" s="4" t="s">
        <v>675</v>
      </c>
      <c r="C515" s="9" t="s">
        <v>6</v>
      </c>
      <c r="D515" s="12" t="s">
        <v>676</v>
      </c>
    </row>
    <row r="516">
      <c r="A516" s="5">
        <f>HYPERLINK("https://www.oit.va.gov/Services/TRM/ToolPage.aspx?tid=13595^","Rubberduck")</f>
      </c>
      <c r="B516" s="4" t="s">
        <v>677</v>
      </c>
      <c r="C516" s="9" t="s">
        <v>6</v>
      </c>
      <c r="D516" s="12" t="s">
        <v>678</v>
      </c>
    </row>
    <row r="517">
      <c r="A517" s="5">
        <f>HYPERLINK("https://www.oit.va.gov/Services/TRM/ToolPage.aspx?tid=6490^","Scribe Insight")</f>
      </c>
      <c r="B517" s="4" t="s">
        <v>679</v>
      </c>
      <c r="C517" s="9" t="s">
        <v>6</v>
      </c>
      <c r="D517" s="12" t="s">
        <v>680</v>
      </c>
    </row>
    <row r="518">
      <c r="A518" s="5">
        <f>HYPERLINK("https://www.oit.va.gov/Services/TRM/ToolPage.aspx?tid=8595^","ScriptX.Add-on")</f>
      </c>
      <c r="B518" s="4" t="s">
        <v>681</v>
      </c>
      <c r="C518" s="9" t="s">
        <v>6</v>
      </c>
      <c r="D518" s="12" t="s">
        <v>682</v>
      </c>
    </row>
    <row r="519">
      <c r="A519" s="5">
        <f>HYPERLINK("https://www.oit.va.gov/Services/TRM/ToolPage.aspx?tid=10453^","SharePoint List Adapter")</f>
      </c>
      <c r="B519" s="4" t="s">
        <v>683</v>
      </c>
      <c r="C519" s="9" t="s">
        <v>6</v>
      </c>
      <c r="D519" s="12" t="s">
        <v>684</v>
      </c>
    </row>
    <row r="520">
      <c r="A520" s="5">
        <f>HYPERLINK("https://www.oit.va.gov/Services/TRM/ToolPage.aspx?tid=7779^","Simulated Picture Archiving and Communication (SimPACS)")</f>
      </c>
      <c r="B520" s="4" t="s">
        <v>685</v>
      </c>
      <c r="C520" s="9" t="s">
        <v>6</v>
      </c>
      <c r="D520" s="12" t="s">
        <v>686</v>
      </c>
    </row>
    <row r="521">
      <c r="A521" s="5">
        <f>HYPERLINK("https://www.oit.va.gov/Services/TRM/ToolPage.aspx?tid=10028^","Site Management and Recovery Tool (SMART)")</f>
      </c>
      <c r="B521" s="4" t="s">
        <v>687</v>
      </c>
      <c r="C521" s="9" t="s">
        <v>6</v>
      </c>
      <c r="D521" s="12" t="s">
        <v>688</v>
      </c>
    </row>
    <row r="522">
      <c r="A522" s="5">
        <f>HYPERLINK("https://www.oit.va.gov/Services/TRM/ToolPage.aspx?tid=10465^","SmartPST")</f>
      </c>
      <c r="B522" s="4" t="s">
        <v>689</v>
      </c>
      <c r="C522" s="9" t="s">
        <v>6</v>
      </c>
      <c r="D522" s="12" t="s">
        <v>690</v>
      </c>
    </row>
    <row r="523">
      <c r="A523" s="5">
        <f>HYPERLINK("https://www.oit.va.gov/Services/TRM/ToolPage.aspx?tid=8483^","SonovaE")</f>
      </c>
      <c r="B523" s="4" t="s">
        <v>691</v>
      </c>
      <c r="C523" s="9" t="s">
        <v>6</v>
      </c>
      <c r="D523" s="12" t="s">
        <v>692</v>
      </c>
    </row>
    <row r="524">
      <c r="A524" s="5">
        <f>HYPERLINK("https://www.oit.va.gov/Services/TRM/ToolPage.aspx?tid=12961^","SPIROLA")</f>
      </c>
      <c r="B524" s="4" t="s">
        <v>693</v>
      </c>
      <c r="C524" s="9" t="s">
        <v>6</v>
      </c>
      <c r="D524" s="12" t="s">
        <v>694</v>
      </c>
    </row>
    <row r="525">
      <c r="A525" s="5">
        <f>HYPERLINK("https://www.oit.va.gov/Services/TRM/ToolPage.aspx?tid=16852^","Splunk Open Database Connectivity (ODBC) Driver")</f>
      </c>
      <c r="B525" s="4" t="s">
        <v>353</v>
      </c>
      <c r="C525" s="9" t="s">
        <v>6</v>
      </c>
      <c r="D525" s="12" t="s">
        <v>695</v>
      </c>
    </row>
    <row r="526">
      <c r="A526" s="5">
        <f>HYPERLINK("https://www.oit.va.gov/Services/TRM/ToolPage.aspx?tid=6144^","SpywareBlaster")</f>
      </c>
      <c r="B526" s="4" t="s">
        <v>696</v>
      </c>
      <c r="C526" s="9" t="s">
        <v>6</v>
      </c>
      <c r="D526" s="12" t="s">
        <v>697</v>
      </c>
    </row>
    <row r="527">
      <c r="A527" s="5">
        <f>HYPERLINK("https://www.oit.va.gov/Services/TRM/ToolPage.aspx?tid=10829^","STRand Analysis Software")</f>
      </c>
      <c r="B527" s="4" t="s">
        <v>698</v>
      </c>
      <c r="C527" s="9" t="s">
        <v>6</v>
      </c>
      <c r="D527" s="12" t="s">
        <v>699</v>
      </c>
    </row>
    <row r="528">
      <c r="A528" s="5">
        <f>HYPERLINK("https://www.oit.va.gov/Services/TRM/ToolPage.aspx?tid=15874^","Sunburst")</f>
      </c>
      <c r="B528" s="4" t="s">
        <v>700</v>
      </c>
      <c r="C528" s="9" t="s">
        <v>6</v>
      </c>
      <c r="D528" s="12" t="s">
        <v>701</v>
      </c>
    </row>
    <row r="529">
      <c r="A529" s="5">
        <f>HYPERLINK("https://www.oit.va.gov/Services/TRM/ToolPage.aspx?tid=7419^","SuperToast")</f>
      </c>
      <c r="B529" s="4" t="s">
        <v>702</v>
      </c>
      <c r="C529" s="9" t="s">
        <v>6</v>
      </c>
      <c r="D529" s="12" t="s">
        <v>703</v>
      </c>
    </row>
    <row r="530">
      <c r="A530" s="5">
        <f>HYPERLINK("https://www.oit.va.gov/Services/TRM/ToolPage.aspx?tid=9096^","Tableau Add-In")</f>
      </c>
      <c r="B530" s="4" t="s">
        <v>704</v>
      </c>
      <c r="C530" s="9" t="s">
        <v>6</v>
      </c>
      <c r="D530" s="12" t="s">
        <v>705</v>
      </c>
    </row>
    <row r="531">
      <c r="A531" s="5">
        <f>HYPERLINK("https://www.oit.va.gov/Services/TRM/ToolPage.aspx?tid=5551^","TalkStation Information System (IS)")</f>
      </c>
      <c r="B531" s="4" t="s">
        <v>706</v>
      </c>
      <c r="C531" s="9" t="s">
        <v>6</v>
      </c>
      <c r="D531" s="12" t="s">
        <v>707</v>
      </c>
    </row>
    <row r="532">
      <c r="A532" s="5">
        <f>HYPERLINK("https://www.oit.va.gov/Services/TRM/ToolPage.aspx?tid=9397^","Test Case Extractor")</f>
      </c>
      <c r="B532" s="4" t="s">
        <v>708</v>
      </c>
      <c r="C532" s="9" t="s">
        <v>6</v>
      </c>
      <c r="D532" s="12" t="s">
        <v>75</v>
      </c>
    </row>
    <row r="533">
      <c r="A533" s="5">
        <f>HYPERLINK("https://www.oit.va.gov/Services/TRM/ToolPage.aspx?tid=7432^","UltimateSpell")</f>
      </c>
      <c r="B533" s="4" t="s">
        <v>709</v>
      </c>
      <c r="C533" s="9" t="s">
        <v>6</v>
      </c>
      <c r="D533" s="12" t="s">
        <v>490</v>
      </c>
    </row>
    <row r="534">
      <c r="A534" s="5">
        <f>HYPERLINK("https://www.oit.va.gov/Services/TRM/ToolPage.aspx?tid=14677^","Ultrabac")</f>
      </c>
      <c r="B534" s="4" t="s">
        <v>710</v>
      </c>
      <c r="C534" s="9" t="s">
        <v>6</v>
      </c>
      <c r="D534" s="12" t="s">
        <v>711</v>
      </c>
    </row>
    <row r="535">
      <c r="A535" s="5">
        <f>HYPERLINK("https://www.oit.va.gov/Services/TRM/ToolPage.aspx?tid=6299^","UltraEdit")</f>
      </c>
      <c r="B535" s="4" t="s">
        <v>712</v>
      </c>
      <c r="C535" s="9" t="s">
        <v>6</v>
      </c>
      <c r="D535" s="12" t="s">
        <v>713</v>
      </c>
    </row>
    <row r="536">
      <c r="A536" s="5">
        <f>HYPERLINK("https://www.oit.va.gov/Services/TRM/ToolPage.aspx?tid=274^","Unicom PurifyPlus")</f>
      </c>
      <c r="B536" s="4" t="s">
        <v>714</v>
      </c>
      <c r="C536" s="9" t="s">
        <v>6</v>
      </c>
      <c r="D536" s="12" t="s">
        <v>715</v>
      </c>
    </row>
    <row r="537">
      <c r="A537" s="5">
        <f>HYPERLINK("https://www.oit.va.gov/Services/TRM/ToolPage.aspx?tid=9212^","UniMatch PLUS")</f>
      </c>
      <c r="B537" s="4" t="s">
        <v>716</v>
      </c>
      <c r="C537" s="9" t="s">
        <v>6</v>
      </c>
      <c r="D537" s="12" t="s">
        <v>717</v>
      </c>
    </row>
    <row r="538">
      <c r="A538" s="5">
        <f>HYPERLINK("https://www.oit.va.gov/Services/TRM/ToolPage.aspx?tid=9516^","User Interface (UI) for Silverlight")</f>
      </c>
      <c r="B538" s="4" t="s">
        <v>241</v>
      </c>
      <c r="C538" s="9" t="s">
        <v>6</v>
      </c>
      <c r="D538" s="12" t="s">
        <v>718</v>
      </c>
    </row>
    <row r="539">
      <c r="A539" s="5">
        <f>HYPERLINK("https://www.oit.va.gov/Services/TRM/ToolPage.aspx?tid=6558^","VMware vSphere Power Command Line Interface (PowerCLI)")</f>
      </c>
      <c r="B539" s="4" t="s">
        <v>719</v>
      </c>
      <c r="C539" s="9" t="s">
        <v>6</v>
      </c>
      <c r="D539" s="12" t="s">
        <v>720</v>
      </c>
    </row>
    <row r="540">
      <c r="A540" s="5">
        <f>HYPERLINK("https://www.oit.va.gov/Services/TRM/ToolPage.aspx?tid=15644^","Wellbeats")</f>
      </c>
      <c r="B540" s="4" t="s">
        <v>721</v>
      </c>
      <c r="C540" s="9" t="s">
        <v>6</v>
      </c>
      <c r="D540" s="12" t="s">
        <v>722</v>
      </c>
    </row>
    <row r="541">
      <c r="A541" s="5">
        <f>HYPERLINK("https://www.oit.va.gov/Services/TRM/ToolPage.aspx?tid=7700^","WinDirStat")</f>
      </c>
      <c r="B541" s="4" t="s">
        <v>591</v>
      </c>
      <c r="C541" s="9" t="s">
        <v>6</v>
      </c>
      <c r="D541" s="12" t="s">
        <v>723</v>
      </c>
    </row>
    <row r="542">
      <c r="A542" s="5">
        <f>HYPERLINK("https://www.oit.va.gov/Services/TRM/ToolPage.aspx?tid=9190^","Word Content Control Toolkit")</f>
      </c>
      <c r="B542" s="4" t="s">
        <v>724</v>
      </c>
      <c r="C542" s="9" t="s">
        <v>6</v>
      </c>
      <c r="D542" s="12" t="s">
        <v>725</v>
      </c>
    </row>
    <row r="543">
      <c r="A543" s="5">
        <f>HYPERLINK("https://www.oit.va.gov/Services/TRM/ToolPage.aspx?tid=7701^","X Window System Remote Desktop Protocol (xRDP)")</f>
      </c>
      <c r="B543" s="4" t="s">
        <v>726</v>
      </c>
      <c r="C543" s="9" t="s">
        <v>6</v>
      </c>
      <c r="D543" s="12" t="s">
        <v>727</v>
      </c>
    </row>
    <row r="544">
      <c r="A544" s="5">
        <f>HYPERLINK("https://www.oit.va.gov/Services/TRM/ToolPage.aspx?tid=13922^","XLShare: Add-in for Excel")</f>
      </c>
      <c r="B544" s="4" t="s">
        <v>728</v>
      </c>
      <c r="C544" s="9" t="s">
        <v>6</v>
      </c>
      <c r="D544" s="12" t="s">
        <v>729</v>
      </c>
    </row>
    <row r="545">
      <c r="A545" s="5">
        <f>HYPERLINK("https://www.oit.va.gov/Services/TRM/ToolPage.aspx?tid=10102^","Xplorer2")</f>
      </c>
      <c r="B545" s="4" t="s">
        <v>730</v>
      </c>
      <c r="C545" s="9" t="s">
        <v>6</v>
      </c>
      <c r="D545" s="12" t="s">
        <v>731</v>
      </c>
    </row>
    <row r="546">
      <c r="A546" s="5">
        <f>HYPERLINK("https://www.oit.va.gov/Services/TRM/ToolPage.aspx?tid=8995^","3Shape Dental System")</f>
      </c>
      <c r="B546" s="4" t="s">
        <v>732</v>
      </c>
      <c r="C546" s="9" t="s">
        <v>6</v>
      </c>
      <c r="D546" s="12" t="s">
        <v>733</v>
      </c>
    </row>
    <row r="547">
      <c r="A547" s="5">
        <f>HYPERLINK("https://www.oit.va.gov/Services/TRM/ToolPage.aspx?tid=14066^","Abstract Plus")</f>
      </c>
      <c r="B547" s="4" t="s">
        <v>734</v>
      </c>
      <c r="C547" s="9" t="s">
        <v>6</v>
      </c>
      <c r="D547" s="12" t="s">
        <v>735</v>
      </c>
    </row>
    <row r="548">
      <c r="A548" s="5">
        <f>HYPERLINK("https://www.oit.va.gov/Services/TRM/ToolPage.aspx?tid=7429^","AccelFind")</f>
      </c>
      <c r="B548" s="4" t="s">
        <v>736</v>
      </c>
      <c r="C548" s="9" t="s">
        <v>6</v>
      </c>
      <c r="D548" s="12" t="s">
        <v>737</v>
      </c>
    </row>
    <row r="549">
      <c r="A549" s="5">
        <f>HYPERLINK("https://www.oit.va.gov/Services/TRM/ToolPage.aspx?tid=5866^","Accu-Chek 360 Diabetes Management System")</f>
      </c>
      <c r="B549" s="4" t="s">
        <v>738</v>
      </c>
      <c r="C549" s="9" t="s">
        <v>6</v>
      </c>
      <c r="D549" s="12" t="s">
        <v>739</v>
      </c>
    </row>
    <row r="550">
      <c r="A550" s="5">
        <f>HYPERLINK("https://www.oit.va.gov/Services/TRM/ToolPage.aspx?tid=7751^","AccuWin Pro")</f>
      </c>
      <c r="B550" s="4" t="s">
        <v>740</v>
      </c>
      <c r="C550" s="9" t="s">
        <v>6</v>
      </c>
      <c r="D550" s="12" t="s">
        <v>741</v>
      </c>
    </row>
    <row r="551">
      <c r="A551" s="5">
        <f>HYPERLINK("https://www.oit.va.gov/Services/TRM/ToolPage.aspx?tid=7369^","Acquisition Requirements Roadmap Tool (ARRT)")</f>
      </c>
      <c r="B551" s="4" t="s">
        <v>742</v>
      </c>
      <c r="C551" s="9" t="s">
        <v>6</v>
      </c>
      <c r="D551" s="12" t="s">
        <v>743</v>
      </c>
    </row>
    <row r="552">
      <c r="A552" s="5">
        <f>HYPERLINK("https://www.oit.va.gov/Services/TRM/ToolPage.aspx?tid=12829^","Active Server Pages (ASP).NET Asynchronous JavaScript And Extensible Markup Language (XML) (AJAX)")</f>
      </c>
      <c r="B552" s="4" t="s">
        <v>744</v>
      </c>
      <c r="C552" s="9" t="s">
        <v>6</v>
      </c>
      <c r="D552" s="12" t="s">
        <v>745</v>
      </c>
    </row>
    <row r="553">
      <c r="A553" s="5">
        <f>HYPERLINK("https://www.oit.va.gov/Services/TRM/ToolPage.aspx?tid=14510^","Acuo Vendor Neutral Archive (VNA)")</f>
      </c>
      <c r="B553" s="4" t="s">
        <v>746</v>
      </c>
      <c r="C553" s="9" t="s">
        <v>6</v>
      </c>
      <c r="D553" s="12" t="s">
        <v>747</v>
      </c>
    </row>
    <row r="554">
      <c r="A554" s="5">
        <f>HYPERLINK("https://www.oit.va.gov/Services/TRM/ToolPage.aspx?tid=15143^","ADHEAR Configuration Software")</f>
      </c>
      <c r="B554" s="4" t="s">
        <v>748</v>
      </c>
      <c r="C554" s="9" t="s">
        <v>6</v>
      </c>
      <c r="D554" s="12" t="s">
        <v>749</v>
      </c>
    </row>
    <row r="555">
      <c r="A555" s="5">
        <f>HYPERLINK("https://www.oit.va.gov/Services/TRM/ToolPage.aspx?tid=8910^","Adobe Experience Manager (AEM) Forms Digital Rights Management (DRM)")</f>
      </c>
      <c r="B555" s="4" t="s">
        <v>110</v>
      </c>
      <c r="C555" s="9" t="s">
        <v>6</v>
      </c>
      <c r="D555" s="12" t="s">
        <v>750</v>
      </c>
    </row>
    <row r="556">
      <c r="A556" s="5">
        <f>HYPERLINK("https://www.oit.va.gov/Services/TRM/ToolPage.aspx?tid=5001^","Adobe RoboHelp")</f>
      </c>
      <c r="B556" s="4" t="s">
        <v>110</v>
      </c>
      <c r="C556" s="9" t="s">
        <v>6</v>
      </c>
      <c r="D556" s="12" t="s">
        <v>751</v>
      </c>
    </row>
    <row r="557">
      <c r="A557" s="5">
        <f>HYPERLINK("https://www.oit.va.gov/Services/TRM/ToolPage.aspx?tid=16353^","Advanced Bionics Target Cochlear Implant (CI)")</f>
      </c>
      <c r="B557" s="4" t="s">
        <v>752</v>
      </c>
      <c r="C557" s="9" t="s">
        <v>6</v>
      </c>
      <c r="D557" s="12" t="s">
        <v>753</v>
      </c>
    </row>
    <row r="558">
      <c r="A558" s="5">
        <f>HYPERLINK("https://www.oit.va.gov/Services/TRM/ToolPage.aspx?tid=14660^","Advanced Mechanical Technology, Inc. (AMTI) Balance Clinic")</f>
      </c>
      <c r="B558" s="4" t="s">
        <v>754</v>
      </c>
      <c r="C558" s="9" t="s">
        <v>6</v>
      </c>
      <c r="D558" s="12" t="s">
        <v>755</v>
      </c>
    </row>
    <row r="559">
      <c r="A559" s="5">
        <f>HYPERLINK("https://www.oit.va.gov/Services/TRM/ToolPage.aspx?tid=13961^","Advanced Sterilization Products (ASP) ACCESS Technology")</f>
      </c>
      <c r="B559" s="4" t="s">
        <v>756</v>
      </c>
      <c r="C559" s="9" t="s">
        <v>6</v>
      </c>
      <c r="D559" s="12" t="s">
        <v>757</v>
      </c>
    </row>
    <row r="560">
      <c r="A560" s="5">
        <f>HYPERLINK("https://www.oit.va.gov/Services/TRM/ToolPage.aspx?tid=15818^","Advantage Plus Reprocessor LIO Software")</f>
      </c>
      <c r="B560" s="4" t="s">
        <v>758</v>
      </c>
      <c r="C560" s="9" t="s">
        <v>6</v>
      </c>
      <c r="D560" s="12" t="s">
        <v>759</v>
      </c>
    </row>
    <row r="561">
      <c r="A561" s="5">
        <f>HYPERLINK("https://www.oit.va.gov/Services/TRM/ToolPage.aspx?tid=11735^","Affinity Suite")</f>
      </c>
      <c r="B561" s="4" t="s">
        <v>760</v>
      </c>
      <c r="C561" s="9" t="s">
        <v>6</v>
      </c>
      <c r="D561" s="12" t="s">
        <v>761</v>
      </c>
    </row>
    <row r="562">
      <c r="A562" s="5">
        <f>HYPERLINK("https://www.oit.va.gov/Services/TRM/ToolPage.aspx?tid=7998^","Alaris System Maintenance Software")</f>
      </c>
      <c r="B562" s="4" t="s">
        <v>762</v>
      </c>
      <c r="C562" s="9" t="s">
        <v>6</v>
      </c>
      <c r="D562" s="12" t="s">
        <v>763</v>
      </c>
    </row>
    <row r="563">
      <c r="A563" s="5">
        <f>HYPERLINK("https://www.oit.va.gov/Services/TRM/ToolPage.aspx?tid=11217^","Alaris Systems Manager")</f>
      </c>
      <c r="B563" s="4" t="s">
        <v>762</v>
      </c>
      <c r="C563" s="9" t="s">
        <v>6</v>
      </c>
      <c r="D563" s="12" t="s">
        <v>764</v>
      </c>
    </row>
    <row r="564">
      <c r="A564" s="5">
        <f>HYPERLINK("https://www.oit.va.gov/Services/TRM/ToolPage.aspx?tid=15200^","Alarm Center")</f>
      </c>
      <c r="B564" s="4" t="s">
        <v>765</v>
      </c>
      <c r="C564" s="9" t="s">
        <v>6</v>
      </c>
      <c r="D564" s="12" t="s">
        <v>766</v>
      </c>
    </row>
    <row r="565">
      <c r="A565" s="5">
        <f>HYPERLINK("https://www.oit.va.gov/Services/TRM/ToolPage.aspx?tid=7243^","Alexsys Team")</f>
      </c>
      <c r="B565" s="4" t="s">
        <v>767</v>
      </c>
      <c r="C565" s="9" t="s">
        <v>6</v>
      </c>
      <c r="D565" s="12" t="s">
        <v>768</v>
      </c>
    </row>
    <row r="566">
      <c r="A566" s="5">
        <f>HYPERLINK("https://www.oit.va.gov/Services/TRM/ToolPage.aspx?tid=10962^","AlinIQ Inventory Manager Software (IMS)")</f>
      </c>
      <c r="B566" s="4" t="s">
        <v>427</v>
      </c>
      <c r="C566" s="9" t="s">
        <v>6</v>
      </c>
      <c r="D566" s="12" t="s">
        <v>769</v>
      </c>
    </row>
    <row r="567">
      <c r="A567" s="5">
        <f>HYPERLINK("https://www.oit.va.gov/Services/TRM/ToolPage.aspx?tid=7543^","Allscripts Sunrise Decision Support")</f>
      </c>
      <c r="B567" s="4" t="s">
        <v>770</v>
      </c>
      <c r="C567" s="9" t="s">
        <v>6</v>
      </c>
      <c r="D567" s="12" t="s">
        <v>771</v>
      </c>
    </row>
    <row r="568">
      <c r="A568" s="5">
        <f>HYPERLINK("https://www.oit.va.gov/Services/TRM/ToolPage.aspx?tid=6063^","Altair Monarch")</f>
      </c>
      <c r="B568" s="4" t="s">
        <v>772</v>
      </c>
      <c r="C568" s="9" t="s">
        <v>6</v>
      </c>
      <c r="D568" s="12" t="s">
        <v>773</v>
      </c>
    </row>
    <row r="569">
      <c r="A569" s="5">
        <f>HYPERLINK("https://www.oit.va.gov/Services/TRM/ToolPage.aspx?tid=15908^","Alteryx Server")</f>
      </c>
      <c r="B569" s="4" t="s">
        <v>326</v>
      </c>
      <c r="C569" s="9" t="s">
        <v>6</v>
      </c>
      <c r="D569" s="12" t="s">
        <v>774</v>
      </c>
    </row>
    <row r="570">
      <c r="A570" s="5">
        <f>HYPERLINK("https://www.oit.va.gov/Services/TRM/ToolPage.aspx?tid=8435^","Alvaria Customer Experience Platform (CXP)")</f>
      </c>
      <c r="B570" s="4" t="s">
        <v>775</v>
      </c>
      <c r="C570" s="9" t="s">
        <v>6</v>
      </c>
      <c r="D570" s="12" t="s">
        <v>776</v>
      </c>
    </row>
    <row r="571">
      <c r="A571" s="5">
        <f>HYPERLINK("https://www.oit.va.gov/Services/TRM/ToolPage.aspx?tid=7916^","Alvaria Prophecy")</f>
      </c>
      <c r="B571" s="4" t="s">
        <v>775</v>
      </c>
      <c r="C571" s="9" t="s">
        <v>6</v>
      </c>
      <c r="D571" s="12" t="s">
        <v>777</v>
      </c>
    </row>
    <row r="572">
      <c r="A572" s="5">
        <f>HYPERLINK("https://www.oit.va.gov/Services/TRM/ToolPage.aspx?tid=14237^","Amazon Web Services (AWS) Toolkit for Visual Studio")</f>
      </c>
      <c r="B572" s="4" t="s">
        <v>778</v>
      </c>
      <c r="C572" s="9" t="s">
        <v>6</v>
      </c>
      <c r="D572" s="12" t="s">
        <v>779</v>
      </c>
    </row>
    <row r="573">
      <c r="A573" s="5">
        <f>HYPERLINK("https://www.oit.va.gov/Services/TRM/ToolPage.aspx?tid=14978^","American HealthTech (AHT) Smart Charting System")</f>
      </c>
      <c r="B573" s="4" t="s">
        <v>780</v>
      </c>
      <c r="C573" s="9" t="s">
        <v>6</v>
      </c>
      <c r="D573" s="12" t="s">
        <v>781</v>
      </c>
    </row>
    <row r="574">
      <c r="A574" s="5">
        <f>HYPERLINK("https://www.oit.va.gov/Services/TRM/ToolPage.aspx?tid=8744^","Anaconda")</f>
      </c>
      <c r="B574" s="4" t="s">
        <v>782</v>
      </c>
      <c r="C574" s="9" t="s">
        <v>6</v>
      </c>
      <c r="D574" s="12" t="s">
        <v>783</v>
      </c>
    </row>
    <row r="575">
      <c r="A575" s="5">
        <f>HYPERLINK("https://www.oit.va.gov/Services/TRM/ToolPage.aspx?tid=12848^","Animal Resource Management (ARM)")</f>
      </c>
      <c r="B575" s="4" t="s">
        <v>784</v>
      </c>
      <c r="C575" s="9" t="s">
        <v>6</v>
      </c>
      <c r="D575" s="12" t="s">
        <v>785</v>
      </c>
    </row>
    <row r="576">
      <c r="A576" s="5">
        <f>HYPERLINK("https://www.oit.va.gov/Services/TRM/ToolPage.aspx?tid=10867^","Anywhere RN")</f>
      </c>
      <c r="B576" s="4" t="s">
        <v>786</v>
      </c>
      <c r="C576" s="9" t="s">
        <v>6</v>
      </c>
      <c r="D576" s="12" t="s">
        <v>787</v>
      </c>
    </row>
    <row r="577">
      <c r="A577" s="5">
        <f>HYPERLINK("https://www.oit.va.gov/Services/TRM/ToolPage.aspx?tid=11400^","Aperio eSlide Manager")</f>
      </c>
      <c r="B577" s="4" t="s">
        <v>788</v>
      </c>
      <c r="C577" s="9" t="s">
        <v>6</v>
      </c>
      <c r="D577" s="12" t="s">
        <v>789</v>
      </c>
    </row>
    <row r="578">
      <c r="A578" s="5">
        <f>HYPERLINK("https://www.oit.va.gov/Services/TRM/ToolPage.aspx?tid=11398^","Aperio ImageScope")</f>
      </c>
      <c r="B578" s="4" t="s">
        <v>788</v>
      </c>
      <c r="C578" s="9" t="s">
        <v>6</v>
      </c>
      <c r="D578" s="12" t="s">
        <v>790</v>
      </c>
    </row>
    <row r="579">
      <c r="A579" s="5">
        <f>HYPERLINK("https://www.oit.va.gov/Services/TRM/ToolPage.aspx?tid=10832^","ApexSQL (Structured Query Language) Complete")</f>
      </c>
      <c r="B579" s="4" t="s">
        <v>363</v>
      </c>
      <c r="C579" s="9" t="s">
        <v>6</v>
      </c>
      <c r="D579" s="12" t="s">
        <v>791</v>
      </c>
    </row>
    <row r="580">
      <c r="A580" s="5">
        <f>HYPERLINK("https://www.oit.va.gov/Services/TRM/ToolPage.aspx?tid=9235^","Aquarius iNtuition (AQi) Client Viewer")</f>
      </c>
      <c r="B580" s="4" t="s">
        <v>792</v>
      </c>
      <c r="C580" s="9" t="s">
        <v>6</v>
      </c>
      <c r="D580" s="12" t="s">
        <v>793</v>
      </c>
    </row>
    <row r="581">
      <c r="A581" s="5">
        <f>HYPERLINK("https://www.oit.va.gov/Services/TRM/ToolPage.aspx?tid=13901^","AQURE Point-of-Care (POC) Information Technology (IT)")</f>
      </c>
      <c r="B581" s="4" t="s">
        <v>794</v>
      </c>
      <c r="C581" s="9" t="s">
        <v>6</v>
      </c>
      <c r="D581" s="12" t="s">
        <v>795</v>
      </c>
    </row>
    <row r="582">
      <c r="A582" s="5">
        <f>HYPERLINK("https://www.oit.va.gov/Services/TRM/ToolPage.aspx?tid=7040^","Aria Oncology Information System (OIS)")</f>
      </c>
      <c r="B582" s="4" t="s">
        <v>796</v>
      </c>
      <c r="C582" s="9" t="s">
        <v>6</v>
      </c>
      <c r="D582" s="12" t="s">
        <v>797</v>
      </c>
    </row>
    <row r="583">
      <c r="A583" s="5">
        <f>HYPERLINK("https://www.oit.va.gov/Services/TRM/ToolPage.aspx?tid=13540^","Ascom Telligence Nurse Call System")</f>
      </c>
      <c r="B583" s="4" t="s">
        <v>798</v>
      </c>
      <c r="C583" s="9" t="s">
        <v>6</v>
      </c>
      <c r="D583" s="12" t="s">
        <v>799</v>
      </c>
    </row>
    <row r="584">
      <c r="A584" s="5">
        <f>HYPERLINK("https://www.oit.va.gov/Services/TRM/ToolPage.aspx?tid=13764^","Assessment Center Application Program Interface (API)")</f>
      </c>
      <c r="B584" s="4" t="s">
        <v>800</v>
      </c>
      <c r="C584" s="9" t="s">
        <v>6</v>
      </c>
      <c r="D584" s="12" t="s">
        <v>801</v>
      </c>
    </row>
    <row r="585">
      <c r="A585" s="5">
        <f>HYPERLINK("https://www.oit.va.gov/Services/TRM/ToolPage.aspx?tid=14650^","AssetWorx!")</f>
      </c>
      <c r="B585" s="4" t="s">
        <v>802</v>
      </c>
      <c r="C585" s="9" t="s">
        <v>6</v>
      </c>
      <c r="D585" s="12" t="s">
        <v>803</v>
      </c>
    </row>
    <row r="586">
      <c r="A586" s="5">
        <f>HYPERLINK("https://www.oit.va.gov/Services/TRM/ToolPage.aspx?tid=8725^","Astera ReportMiner")</f>
      </c>
      <c r="B586" s="4" t="s">
        <v>804</v>
      </c>
      <c r="C586" s="9" t="s">
        <v>6</v>
      </c>
      <c r="D586" s="12" t="s">
        <v>805</v>
      </c>
    </row>
    <row r="587">
      <c r="A587" s="5">
        <f>HYPERLINK("https://www.oit.va.gov/Services/TRM/ToolPage.aspx?tid=16291^","Atellica Process Manager (Client)")</f>
      </c>
      <c r="B587" s="4" t="s">
        <v>806</v>
      </c>
      <c r="C587" s="9" t="s">
        <v>6</v>
      </c>
      <c r="D587" s="12" t="s">
        <v>807</v>
      </c>
    </row>
    <row r="588">
      <c r="A588" s="5">
        <f>HYPERLINK("https://www.oit.va.gov/Services/TRM/ToolPage.aspx?tid=7893^","Attendance Enterprise")</f>
      </c>
      <c r="B588" s="4" t="s">
        <v>808</v>
      </c>
      <c r="C588" s="9" t="s">
        <v>6</v>
      </c>
      <c r="D588" s="12" t="s">
        <v>809</v>
      </c>
    </row>
    <row r="589">
      <c r="A589" s="5">
        <f>HYPERLINK("https://www.oit.va.gov/Services/TRM/ToolPage.aspx?tid=8718^","Automated Characterization of Health Information at Large-scale Longitudinal Evidence Systems (ACHILLES)")</f>
      </c>
      <c r="B589" s="4" t="s">
        <v>810</v>
      </c>
      <c r="C589" s="9" t="s">
        <v>6</v>
      </c>
      <c r="D589" s="12" t="s">
        <v>811</v>
      </c>
    </row>
    <row r="590">
      <c r="A590" s="5">
        <f>HYPERLINK("https://www.oit.va.gov/Services/TRM/ToolPage.aspx?tid=15775^","Aveva Edge Supervisory Control and Data Acquisition (SCADA)")</f>
      </c>
      <c r="B590" s="4" t="s">
        <v>812</v>
      </c>
      <c r="C590" s="9" t="s">
        <v>6</v>
      </c>
      <c r="D590" s="12" t="s">
        <v>813</v>
      </c>
    </row>
    <row r="591">
      <c r="A591" s="5">
        <f>HYPERLINK("https://www.oit.va.gov/Services/TRM/ToolPage.aspx?tid=10652^","AviTracks Disease Management (AviTracks-DM)")</f>
      </c>
      <c r="B591" s="4" t="s">
        <v>814</v>
      </c>
      <c r="C591" s="9" t="s">
        <v>6</v>
      </c>
      <c r="D591" s="12" t="s">
        <v>206</v>
      </c>
    </row>
    <row r="592">
      <c r="A592" s="5">
        <f>HYPERLINK("https://www.oit.va.gov/Services/TRM/ToolPage.aspx?tid=6891^","Axure Rapid Prototyping (RP)")</f>
      </c>
      <c r="B592" s="4" t="s">
        <v>815</v>
      </c>
      <c r="C592" s="9" t="s">
        <v>6</v>
      </c>
      <c r="D592" s="12" t="s">
        <v>816</v>
      </c>
    </row>
    <row r="593">
      <c r="A593" s="5">
        <f>HYPERLINK("https://www.oit.va.gov/Services/TRM/ToolPage.aspx?tid=10979^","BD HealthSight Infection Advisor with MedMined Insights")</f>
      </c>
      <c r="B593" s="4" t="s">
        <v>762</v>
      </c>
      <c r="C593" s="9" t="s">
        <v>6</v>
      </c>
      <c r="D593" s="12" t="s">
        <v>525</v>
      </c>
    </row>
    <row r="594">
      <c r="A594" s="5">
        <f>HYPERLINK("https://www.oit.va.gov/Services/TRM/ToolPage.aspx?tid=14028^","BD Synapsys")</f>
      </c>
      <c r="B594" s="4" t="s">
        <v>762</v>
      </c>
      <c r="C594" s="9" t="s">
        <v>6</v>
      </c>
      <c r="D594" s="12" t="s">
        <v>817</v>
      </c>
    </row>
    <row r="595">
      <c r="A595" s="5">
        <f>HYPERLINK("https://www.oit.va.gov/Services/TRM/ToolPage.aspx?tid=8799^","BedMasterEX")</f>
      </c>
      <c r="B595" s="4" t="s">
        <v>561</v>
      </c>
      <c r="C595" s="9" t="s">
        <v>6</v>
      </c>
      <c r="D595" s="12" t="s">
        <v>818</v>
      </c>
    </row>
    <row r="596">
      <c r="A596" s="5">
        <f>HYPERLINK("https://www.oit.va.gov/Services/TRM/ToolPage.aspx?tid=8165^","Behavioral Health Laboratory (BHL)")</f>
      </c>
      <c r="B596" s="4" t="s">
        <v>819</v>
      </c>
      <c r="C596" s="9" t="s">
        <v>6</v>
      </c>
      <c r="D596" s="12" t="s">
        <v>820</v>
      </c>
    </row>
    <row r="597">
      <c r="A597" s="5">
        <f>HYPERLINK("https://www.oit.va.gov/Services/TRM/ToolPage.aspx?tid=6243^","Benchmark Factory for Databases")</f>
      </c>
      <c r="B597" s="4" t="s">
        <v>357</v>
      </c>
      <c r="C597" s="9" t="s">
        <v>6</v>
      </c>
      <c r="D597" s="12" t="s">
        <v>821</v>
      </c>
    </row>
    <row r="598">
      <c r="A598" s="5">
        <f>HYPERLINK("https://www.oit.va.gov/Services/TRM/ToolPage.aspx?tid=7923^","BioDose")</f>
      </c>
      <c r="B598" s="4" t="s">
        <v>822</v>
      </c>
      <c r="C598" s="9" t="s">
        <v>6</v>
      </c>
      <c r="D598" s="12" t="s">
        <v>823</v>
      </c>
    </row>
    <row r="599">
      <c r="A599" s="5">
        <f>HYPERLINK("https://www.oit.va.gov/Services/TRM/ToolPage.aspx?tid=8013^","bioPoint Barcode Point of Care (BPOC)")</f>
      </c>
      <c r="B599" s="4" t="s">
        <v>824</v>
      </c>
      <c r="C599" s="9" t="s">
        <v>6</v>
      </c>
      <c r="D599" s="12" t="s">
        <v>825</v>
      </c>
    </row>
    <row r="600">
      <c r="A600" s="5">
        <f>HYPERLINK("https://www.oit.va.gov/Services/TRM/ToolPage.aspx?tid=5582^","Biopoint Patient Identification Wristband System")</f>
      </c>
      <c r="B600" s="4" t="s">
        <v>824</v>
      </c>
      <c r="C600" s="9" t="s">
        <v>6</v>
      </c>
      <c r="D600" s="12" t="s">
        <v>826</v>
      </c>
    </row>
    <row r="601">
      <c r="A601" s="5">
        <f>HYPERLINK("https://www.oit.va.gov/Services/TRM/ToolPage.aspx?tid=14212^","Bio-Rad Mission: Control - Agent")</f>
      </c>
      <c r="B601" s="4" t="s">
        <v>827</v>
      </c>
      <c r="C601" s="9" t="s">
        <v>6</v>
      </c>
      <c r="D601" s="12" t="s">
        <v>828</v>
      </c>
    </row>
    <row r="602">
      <c r="A602" s="5">
        <f>HYPERLINK("https://www.oit.va.gov/Services/TRM/ToolPage.aspx?tid=7014^","Bitbucket Server")</f>
      </c>
      <c r="B602" s="4" t="s">
        <v>829</v>
      </c>
      <c r="C602" s="9" t="s">
        <v>6</v>
      </c>
      <c r="D602" s="12" t="s">
        <v>830</v>
      </c>
    </row>
    <row r="603">
      <c r="A603" s="5">
        <f>HYPERLINK("https://www.oit.va.gov/Services/TRM/ToolPage.aspx?tid=14901^","BloodTrack Manager")</f>
      </c>
      <c r="B603" s="4" t="s">
        <v>831</v>
      </c>
      <c r="C603" s="9" t="s">
        <v>6</v>
      </c>
      <c r="D603" s="12" t="s">
        <v>832</v>
      </c>
    </row>
    <row r="604">
      <c r="A604" s="5">
        <f>HYPERLINK("https://www.oit.va.gov/Services/TRM/ToolPage.aspx?tid=16444^","Blue Prism Capture")</f>
      </c>
      <c r="B604" s="4" t="s">
        <v>833</v>
      </c>
      <c r="C604" s="9" t="s">
        <v>6</v>
      </c>
      <c r="D604" s="12" t="s">
        <v>834</v>
      </c>
    </row>
    <row r="605">
      <c r="A605" s="5">
        <f>HYPERLINK("https://www.oit.va.gov/Services/TRM/ToolPage.aspx?tid=16105^","Blue Prism Manifest v3 Impact Assessment Utility")</f>
      </c>
      <c r="B605" s="4" t="s">
        <v>833</v>
      </c>
      <c r="C605" s="9" t="s">
        <v>6</v>
      </c>
      <c r="D605" s="12" t="s">
        <v>835</v>
      </c>
    </row>
    <row r="606">
      <c r="A606" s="5">
        <f>HYPERLINK("https://www.oit.va.gov/Services/TRM/ToolPage.aspx?tid=16224^","Blue Sky Statistics")</f>
      </c>
      <c r="B606" s="4" t="s">
        <v>836</v>
      </c>
      <c r="C606" s="9" t="s">
        <v>6</v>
      </c>
      <c r="D606" s="12" t="s">
        <v>837</v>
      </c>
    </row>
    <row r="607">
      <c r="A607" s="5">
        <f>HYPERLINK("https://www.oit.va.gov/Services/TRM/ToolPage.aspx?tid=16786^","Body Manager Platinum")</f>
      </c>
      <c r="B607" s="4" t="s">
        <v>838</v>
      </c>
      <c r="C607" s="9" t="s">
        <v>6</v>
      </c>
      <c r="D607" s="12" t="s">
        <v>839</v>
      </c>
    </row>
    <row r="608">
      <c r="A608" s="5">
        <f>HYPERLINK("https://www.oit.va.gov/Services/TRM/ToolPage.aspx?tid=14124^","Bot Framework Emulator")</f>
      </c>
      <c r="B608" s="4" t="s">
        <v>5</v>
      </c>
      <c r="C608" s="9" t="s">
        <v>6</v>
      </c>
      <c r="D608" s="12" t="s">
        <v>224</v>
      </c>
    </row>
    <row r="609">
      <c r="A609" s="5">
        <f>HYPERLINK("https://www.oit.va.gov/Services/TRM/ToolPage.aspx?tid=7965^","Business DNA (BDNA) Data Platform")</f>
      </c>
      <c r="B609" s="4" t="s">
        <v>164</v>
      </c>
      <c r="C609" s="9" t="s">
        <v>6</v>
      </c>
      <c r="D609" s="12" t="s">
        <v>840</v>
      </c>
    </row>
    <row r="610">
      <c r="A610" s="5">
        <f>HYPERLINK("https://www.oit.va.gov/Services/TRM/ToolPage.aspx?tid=11^","BusinessWare")</f>
      </c>
      <c r="B610" s="4" t="s">
        <v>841</v>
      </c>
      <c r="C610" s="9" t="s">
        <v>6</v>
      </c>
      <c r="D610" s="12" t="s">
        <v>842</v>
      </c>
    </row>
    <row r="611">
      <c r="A611" s="5">
        <f>HYPERLINK("https://www.oit.va.gov/Services/TRM/ToolPage.aspx?tid=13227^","BWCenter")</f>
      </c>
      <c r="B611" s="4" t="s">
        <v>843</v>
      </c>
      <c r="C611" s="9" t="s">
        <v>6</v>
      </c>
      <c r="D611" s="12" t="s">
        <v>844</v>
      </c>
    </row>
    <row r="612">
      <c r="A612" s="5">
        <f>HYPERLINK("https://www.oit.va.gov/Services/TRM/ToolPage.aspx?tid=11293^","CadLink")</f>
      </c>
      <c r="B612" s="4" t="s">
        <v>845</v>
      </c>
      <c r="C612" s="9" t="s">
        <v>6</v>
      </c>
      <c r="D612" s="12" t="s">
        <v>846</v>
      </c>
    </row>
    <row r="613">
      <c r="A613" s="5">
        <f>HYPERLINK("https://www.oit.va.gov/Services/TRM/ToolPage.aspx?tid=14023^","CakePHP")</f>
      </c>
      <c r="B613" s="4" t="s">
        <v>847</v>
      </c>
      <c r="C613" s="9" t="s">
        <v>6</v>
      </c>
      <c r="D613" s="12" t="s">
        <v>848</v>
      </c>
    </row>
    <row r="614">
      <c r="A614" s="5">
        <f>HYPERLINK("https://www.oit.va.gov/Services/TRM/ToolPage.aspx?tid=10218^","Captain`s Log MindPower Builder")</f>
      </c>
      <c r="B614" s="4" t="s">
        <v>849</v>
      </c>
      <c r="C614" s="9" t="s">
        <v>6</v>
      </c>
      <c r="D614" s="12" t="s">
        <v>850</v>
      </c>
    </row>
    <row r="615">
      <c r="A615" s="5">
        <f>HYPERLINK("https://www.oit.va.gov/Services/TRM/ToolPage.aspx?tid=14868^","Cardea SOLO")</f>
      </c>
      <c r="B615" s="4" t="s">
        <v>851</v>
      </c>
      <c r="C615" s="9" t="s">
        <v>6</v>
      </c>
      <c r="D615" s="12" t="s">
        <v>852</v>
      </c>
    </row>
    <row r="616">
      <c r="A616" s="5">
        <f>HYPERLINK("https://www.oit.va.gov/Services/TRM/ToolPage.aspx?tid=6864^","CareEnhance Review Manager Enterprise (CERMe)")</f>
      </c>
      <c r="B616" s="4" t="s">
        <v>853</v>
      </c>
      <c r="C616" s="9" t="s">
        <v>6</v>
      </c>
      <c r="D616" s="12" t="s">
        <v>854</v>
      </c>
    </row>
    <row r="617">
      <c r="A617" s="5">
        <f>HYPERLINK("https://www.oit.va.gov/Services/TRM/ToolPage.aspx?tid=8254^","CareWare")</f>
      </c>
      <c r="B617" s="4" t="s">
        <v>855</v>
      </c>
      <c r="C617" s="9" t="s">
        <v>6</v>
      </c>
      <c r="D617" s="12" t="s">
        <v>856</v>
      </c>
    </row>
    <row r="618">
      <c r="A618" s="5">
        <f>HYPERLINK("https://www.oit.va.gov/Services/TRM/ToolPage.aspx?tid=13772^","Cartegraph Asset Management")</f>
      </c>
      <c r="B618" s="4" t="s">
        <v>857</v>
      </c>
      <c r="C618" s="9" t="s">
        <v>6</v>
      </c>
      <c r="D618" s="12" t="s">
        <v>858</v>
      </c>
    </row>
    <row r="619">
      <c r="A619" s="5">
        <f>HYPERLINK("https://www.oit.va.gov/Services/TRM/ToolPage.aspx?tid=14199^","Cascade Surgical Studio")</f>
      </c>
      <c r="B619" s="4" t="s">
        <v>845</v>
      </c>
      <c r="C619" s="9" t="s">
        <v>6</v>
      </c>
      <c r="D619" s="12" t="s">
        <v>441</v>
      </c>
    </row>
    <row r="620">
      <c r="A620" s="5">
        <f>HYPERLINK("https://www.oit.va.gov/Services/TRM/ToolPage.aspx?tid=15227^","CaseCenter")</f>
      </c>
      <c r="B620" s="4" t="s">
        <v>859</v>
      </c>
      <c r="C620" s="9" t="s">
        <v>6</v>
      </c>
      <c r="D620" s="12" t="s">
        <v>860</v>
      </c>
    </row>
    <row r="621">
      <c r="A621" s="5">
        <f>HYPERLINK("https://www.oit.va.gov/Services/TRM/ToolPage.aspx?tid=9502^","Catamaran Platform")</f>
      </c>
      <c r="B621" s="4" t="s">
        <v>861</v>
      </c>
      <c r="C621" s="9" t="s">
        <v>6</v>
      </c>
      <c r="D621" s="12" t="s">
        <v>862</v>
      </c>
    </row>
    <row r="622">
      <c r="A622" s="5">
        <f>HYPERLINK("https://www.oit.va.gov/Services/TRM/ToolPage.aspx?tid=7954^","Catamaran Point of Use (POU) Inventory System")</f>
      </c>
      <c r="B622" s="4" t="s">
        <v>861</v>
      </c>
      <c r="C622" s="9" t="s">
        <v>6</v>
      </c>
      <c r="D622" s="12" t="s">
        <v>863</v>
      </c>
    </row>
    <row r="623">
      <c r="A623" s="5">
        <f>HYPERLINK("https://www.oit.va.gov/Services/TRM/ToolPage.aspx?tid=8130^","Category Test (CAT)")</f>
      </c>
      <c r="B623" s="4" t="s">
        <v>864</v>
      </c>
      <c r="C623" s="9" t="s">
        <v>6</v>
      </c>
      <c r="D623" s="12" t="s">
        <v>865</v>
      </c>
    </row>
    <row r="624">
      <c r="A624" s="5">
        <f>HYPERLINK("https://www.oit.va.gov/Services/TRM/ToolPage.aspx?tid=16293^","Cedars-Sinai Import (CSI)")</f>
      </c>
      <c r="B624" s="4" t="s">
        <v>866</v>
      </c>
      <c r="C624" s="9" t="s">
        <v>6</v>
      </c>
      <c r="D624" s="12" t="s">
        <v>867</v>
      </c>
    </row>
    <row r="625">
      <c r="A625" s="5">
        <f>HYPERLINK("https://www.oit.va.gov/Services/TRM/ToolPage.aspx?tid=8145^","CensiTrac InstrumenTrac")</f>
      </c>
      <c r="B625" s="4" t="s">
        <v>868</v>
      </c>
      <c r="C625" s="9" t="s">
        <v>6</v>
      </c>
      <c r="D625" s="12" t="s">
        <v>869</v>
      </c>
    </row>
    <row r="626">
      <c r="A626" s="5">
        <f>HYPERLINK("https://www.oit.va.gov/Services/TRM/ToolPage.aspx?tid=8047^","CenTrak Connect Core")</f>
      </c>
      <c r="B626" s="4" t="s">
        <v>870</v>
      </c>
      <c r="C626" s="9" t="s">
        <v>6</v>
      </c>
      <c r="D626" s="12" t="s">
        <v>871</v>
      </c>
    </row>
    <row r="627">
      <c r="A627" s="5">
        <f>HYPERLINK("https://www.oit.va.gov/Services/TRM/ToolPage.aspx?tid=8056^","CenTrak Connect Pulse")</f>
      </c>
      <c r="B627" s="4" t="s">
        <v>870</v>
      </c>
      <c r="C627" s="9" t="s">
        <v>6</v>
      </c>
      <c r="D627" s="12" t="s">
        <v>530</v>
      </c>
    </row>
    <row r="628">
      <c r="A628" s="5">
        <f>HYPERLINK("https://www.oit.va.gov/Services/TRM/ToolPage.aspx?tid=13665^","CenTrak Hand Hygiene Compliance")</f>
      </c>
      <c r="B628" s="4" t="s">
        <v>870</v>
      </c>
      <c r="C628" s="9" t="s">
        <v>6</v>
      </c>
      <c r="D628" s="12" t="s">
        <v>872</v>
      </c>
    </row>
    <row r="629">
      <c r="A629" s="5">
        <f>HYPERLINK("https://www.oit.va.gov/Services/TRM/ToolPage.aspx?tid=12979^","CenTrak Patient Safety")</f>
      </c>
      <c r="B629" s="4" t="s">
        <v>870</v>
      </c>
      <c r="C629" s="9" t="s">
        <v>6</v>
      </c>
      <c r="D629" s="12" t="s">
        <v>873</v>
      </c>
    </row>
    <row r="630">
      <c r="A630" s="5">
        <f>HYPERLINK("https://www.oit.va.gov/Services/TRM/ToolPage.aspx?tid=10888^","Centricity Cardio Workflow (CCW)")</f>
      </c>
      <c r="B630" s="4" t="s">
        <v>874</v>
      </c>
      <c r="C630" s="9" t="s">
        <v>6</v>
      </c>
      <c r="D630" s="12" t="s">
        <v>875</v>
      </c>
    </row>
    <row r="631">
      <c r="A631" s="5">
        <f>HYPERLINK("https://www.oit.va.gov/Services/TRM/ToolPage.aspx?tid=6350^","Centricity Perioperative")</f>
      </c>
      <c r="B631" s="4" t="s">
        <v>874</v>
      </c>
      <c r="C631" s="9" t="s">
        <v>6</v>
      </c>
      <c r="D631" s="12" t="s">
        <v>876</v>
      </c>
    </row>
    <row r="632">
      <c r="A632" s="5">
        <f>HYPERLINK("https://www.oit.va.gov/Services/TRM/ToolPage.aspx?tid=10887^","Centricity Universal Viewer (CUV)")</f>
      </c>
      <c r="B632" s="4" t="s">
        <v>874</v>
      </c>
      <c r="C632" s="9" t="s">
        <v>6</v>
      </c>
      <c r="D632" s="12" t="s">
        <v>877</v>
      </c>
    </row>
    <row r="633">
      <c r="A633" s="5">
        <f>HYPERLINK("https://www.oit.va.gov/Services/TRM/ToolPage.aspx?tid=10086^","Centron Presidio")</f>
      </c>
      <c r="B633" s="4" t="s">
        <v>878</v>
      </c>
      <c r="C633" s="9" t="s">
        <v>6</v>
      </c>
      <c r="D633" s="12" t="s">
        <v>879</v>
      </c>
    </row>
    <row r="634">
      <c r="A634" s="5">
        <f>HYPERLINK("https://www.oit.va.gov/Services/TRM/ToolPage.aspx?tid=11399^","CEREBRO")</f>
      </c>
      <c r="B634" s="4" t="s">
        <v>788</v>
      </c>
      <c r="C634" s="9" t="s">
        <v>6</v>
      </c>
      <c r="D634" s="12" t="s">
        <v>880</v>
      </c>
    </row>
    <row r="635">
      <c r="A635" s="5">
        <f>HYPERLINK("https://www.oit.va.gov/Services/TRM/ToolPage.aspx?tid=16259^","Change Healthcare Cardiology Picture Archive and Communication System (PACS)")</f>
      </c>
      <c r="B635" s="4" t="s">
        <v>585</v>
      </c>
      <c r="C635" s="9" t="s">
        <v>6</v>
      </c>
      <c r="D635" s="12" t="s">
        <v>881</v>
      </c>
    </row>
    <row r="636">
      <c r="A636" s="5">
        <f>HYPERLINK("https://www.oit.va.gov/Services/TRM/ToolPage.aspx?tid=11335^","ChartLinc")</f>
      </c>
      <c r="B636" s="4" t="s">
        <v>882</v>
      </c>
      <c r="C636" s="9" t="s">
        <v>6</v>
      </c>
      <c r="D636" s="12" t="s">
        <v>883</v>
      </c>
    </row>
    <row r="637">
      <c r="A637" s="5">
        <f>HYPERLINK("https://www.oit.va.gov/Services/TRM/ToolPage.aspx?tid=14432^","Checkmarx Static Application Security Testing (SAST)")</f>
      </c>
      <c r="B637" s="4" t="s">
        <v>884</v>
      </c>
      <c r="C637" s="9" t="s">
        <v>6</v>
      </c>
      <c r="D637" s="12" t="s">
        <v>885</v>
      </c>
    </row>
    <row r="638">
      <c r="A638" s="5">
        <f>HYPERLINK("https://www.oit.va.gov/Services/TRM/ToolPage.aspx?tid=8243^","Circle Cardiovascular Imaging (cvi42)")</f>
      </c>
      <c r="B638" s="4" t="s">
        <v>886</v>
      </c>
      <c r="C638" s="9" t="s">
        <v>6</v>
      </c>
      <c r="D638" s="12" t="s">
        <v>192</v>
      </c>
    </row>
    <row r="639">
      <c r="A639" s="5">
        <f>HYPERLINK("https://www.oit.va.gov/Services/TRM/ToolPage.aspx?tid=13574^","Cirrhosis Order Set and Clinical Decision Support (CirrODS)")</f>
      </c>
      <c r="B639" s="4" t="s">
        <v>887</v>
      </c>
      <c r="C639" s="9" t="s">
        <v>6</v>
      </c>
      <c r="D639" s="12" t="s">
        <v>888</v>
      </c>
    </row>
    <row r="640">
      <c r="A640" s="5">
        <f>HYPERLINK("https://www.oit.va.gov/Services/TRM/ToolPage.aspx?tid=6422^","Citrix Virtual Apps and Desktops (CVAD)")</f>
      </c>
      <c r="B640" s="4" t="s">
        <v>515</v>
      </c>
      <c r="C640" s="9" t="s">
        <v>6</v>
      </c>
      <c r="D640" s="12" t="s">
        <v>889</v>
      </c>
    </row>
    <row r="641">
      <c r="A641" s="5">
        <f>HYPERLINK("https://www.oit.va.gov/Services/TRM/ToolPage.aspx?tid=14108^","ClaimStaker")</f>
      </c>
      <c r="B641" s="4" t="s">
        <v>890</v>
      </c>
      <c r="C641" s="9" t="s">
        <v>6</v>
      </c>
      <c r="D641" s="12" t="s">
        <v>891</v>
      </c>
    </row>
    <row r="642">
      <c r="A642" s="5">
        <f>HYPERLINK("https://www.oit.va.gov/Services/TRM/ToolPage.aspx?tid=15585^","Clean-Trace Hygiene Monitoring and Management System")</f>
      </c>
      <c r="B642" s="4" t="s">
        <v>892</v>
      </c>
      <c r="C642" s="9" t="s">
        <v>6</v>
      </c>
      <c r="D642" s="12" t="s">
        <v>893</v>
      </c>
    </row>
    <row r="643">
      <c r="A643" s="5">
        <f>HYPERLINK("https://www.oit.va.gov/Services/TRM/ToolPage.aspx?tid=8301^","clearView")</f>
      </c>
      <c r="B643" s="4" t="s">
        <v>894</v>
      </c>
      <c r="C643" s="9" t="s">
        <v>6</v>
      </c>
      <c r="D643" s="12" t="s">
        <v>895</v>
      </c>
    </row>
    <row r="644">
      <c r="A644" s="5">
        <f>HYPERLINK("https://www.oit.va.gov/Services/TRM/ToolPage.aspx?tid=16161^","ClickOnce Bootstrapper")</f>
      </c>
      <c r="B644" s="4" t="s">
        <v>5</v>
      </c>
      <c r="C644" s="9" t="s">
        <v>6</v>
      </c>
      <c r="D644" s="12" t="s">
        <v>896</v>
      </c>
    </row>
    <row r="645">
      <c r="A645" s="5">
        <f>HYPERLINK("https://www.oit.va.gov/Services/TRM/ToolPage.aspx?tid=9432^","Clinical Outcomes Reporting Informatics (CORI2)")</f>
      </c>
      <c r="B645" s="4" t="s">
        <v>897</v>
      </c>
      <c r="C645" s="9" t="s">
        <v>6</v>
      </c>
      <c r="D645" s="12" t="s">
        <v>898</v>
      </c>
    </row>
    <row r="646">
      <c r="A646" s="5">
        <f>HYPERLINK("https://www.oit.va.gov/Services/TRM/ToolPage.aspx?tid=15693^","CliniView")</f>
      </c>
      <c r="B646" s="4" t="s">
        <v>899</v>
      </c>
      <c r="C646" s="9" t="s">
        <v>6</v>
      </c>
      <c r="D646" s="12" t="s">
        <v>900</v>
      </c>
    </row>
    <row r="647">
      <c r="A647" s="5">
        <f>HYPERLINK("https://www.oit.va.gov/Services/TRM/ToolPage.aspx?tid=5744^","Clintegrity VA Chart Complete (VACC)")</f>
      </c>
      <c r="B647" s="4" t="s">
        <v>342</v>
      </c>
      <c r="C647" s="9" t="s">
        <v>6</v>
      </c>
      <c r="D647" s="12" t="s">
        <v>901</v>
      </c>
    </row>
    <row r="648">
      <c r="A648" s="5">
        <f>HYPERLINK("https://www.oit.va.gov/Services/TRM/ToolPage.aspx?tid=14289^","CoagClinic")</f>
      </c>
      <c r="B648" s="4" t="s">
        <v>427</v>
      </c>
      <c r="C648" s="9" t="s">
        <v>6</v>
      </c>
      <c r="D648" s="12" t="s">
        <v>902</v>
      </c>
    </row>
    <row r="649">
      <c r="A649" s="5">
        <f>HYPERLINK("https://www.oit.va.gov/Services/TRM/ToolPage.aspx?tid=8599^","COBOL-IT Compiler Suite Enterprise Edition")</f>
      </c>
      <c r="B649" s="4" t="s">
        <v>903</v>
      </c>
      <c r="C649" s="9" t="s">
        <v>6</v>
      </c>
      <c r="D649" s="12" t="s">
        <v>904</v>
      </c>
    </row>
    <row r="650">
      <c r="A650" s="5">
        <f>HYPERLINK("https://www.oit.va.gov/Services/TRM/ToolPage.aspx?tid=13978^","Code Alert")</f>
      </c>
      <c r="B650" s="4" t="s">
        <v>905</v>
      </c>
      <c r="C650" s="9" t="s">
        <v>6</v>
      </c>
      <c r="D650" s="12" t="s">
        <v>895</v>
      </c>
    </row>
    <row r="651">
      <c r="A651" s="5">
        <f>HYPERLINK("https://www.oit.va.gov/Services/TRM/ToolPage.aspx?tid=9030^","CodeCharge Studio")</f>
      </c>
      <c r="B651" s="4" t="s">
        <v>906</v>
      </c>
      <c r="C651" s="9" t="s">
        <v>6</v>
      </c>
      <c r="D651" s="12" t="s">
        <v>898</v>
      </c>
    </row>
    <row r="652">
      <c r="A652" s="5">
        <f>HYPERLINK("https://www.oit.va.gov/Services/TRM/ToolPage.aspx?tid=7625^","CodeSmith Generator")</f>
      </c>
      <c r="B652" s="4" t="s">
        <v>907</v>
      </c>
      <c r="C652" s="9" t="s">
        <v>6</v>
      </c>
      <c r="D652" s="12" t="s">
        <v>359</v>
      </c>
    </row>
    <row r="653">
      <c r="A653" s="5">
        <f>HYPERLINK("https://www.oit.va.gov/Services/TRM/ToolPage.aspx?tid=9439^","CODE-STAT Data Review Software")</f>
      </c>
      <c r="B653" s="4" t="s">
        <v>908</v>
      </c>
      <c r="C653" s="9" t="s">
        <v>6</v>
      </c>
      <c r="D653" s="12" t="s">
        <v>863</v>
      </c>
    </row>
    <row r="654">
      <c r="A654" s="5">
        <f>HYPERLINK("https://www.oit.va.gov/Services/TRM/ToolPage.aspx?tid=14107^","CodeWizard")</f>
      </c>
      <c r="B654" s="4" t="s">
        <v>890</v>
      </c>
      <c r="C654" s="9" t="s">
        <v>6</v>
      </c>
      <c r="D654" s="12" t="s">
        <v>891</v>
      </c>
    </row>
    <row r="655">
      <c r="A655" s="5">
        <f>HYPERLINK("https://www.oit.va.gov/Services/TRM/ToolPage.aspx?tid=15369^","Coginiti")</f>
      </c>
      <c r="B655" s="4" t="s">
        <v>909</v>
      </c>
      <c r="C655" s="9" t="s">
        <v>6</v>
      </c>
      <c r="D655" s="12" t="s">
        <v>264</v>
      </c>
    </row>
    <row r="656">
      <c r="A656" s="5">
        <f>HYPERLINK("https://www.oit.va.gov/Services/TRM/ToolPage.aspx?tid=10971^","Cognitive Behavioral Therapy for Insomnia (CBTI-I) Coach App-Enabled Dashboard")</f>
      </c>
      <c r="B656" s="4" t="s">
        <v>910</v>
      </c>
      <c r="C656" s="9" t="s">
        <v>6</v>
      </c>
      <c r="D656" s="12" t="s">
        <v>911</v>
      </c>
    </row>
    <row r="657">
      <c r="A657" s="5">
        <f>HYPERLINK("https://www.oit.va.gov/Services/TRM/ToolPage.aspx?tid=6686^","Cognos Analytics")</f>
      </c>
      <c r="B657" s="4" t="s">
        <v>233</v>
      </c>
      <c r="C657" s="9" t="s">
        <v>6</v>
      </c>
      <c r="D657" s="12" t="s">
        <v>912</v>
      </c>
    </row>
    <row r="658">
      <c r="A658" s="5">
        <f>HYPERLINK("https://www.oit.va.gov/Services/TRM/ToolPage.aspx?tid=10597^","Community Reintegration of Injured Service Members-Computer Adapted-Test (CRIS-CAT)")</f>
      </c>
      <c r="B658" s="4" t="s">
        <v>913</v>
      </c>
      <c r="C658" s="9" t="s">
        <v>6</v>
      </c>
      <c r="D658" s="12" t="s">
        <v>914</v>
      </c>
    </row>
    <row r="659">
      <c r="A659" s="5">
        <f>HYPERLINK("https://www.oit.va.gov/Services/TRM/ToolPage.aspx?tid=9175^","ComPAS Pulmonary Function Test (PFT) Software")</f>
      </c>
      <c r="B659" s="4" t="s">
        <v>915</v>
      </c>
      <c r="C659" s="9" t="s">
        <v>6</v>
      </c>
      <c r="D659" s="12" t="s">
        <v>916</v>
      </c>
    </row>
    <row r="660">
      <c r="A660" s="5">
        <f>HYPERLINK("https://www.oit.va.gov/Services/TRM/ToolPage.aspx?tid=6413^","Compliance Sheriff")</f>
      </c>
      <c r="B660" s="4" t="s">
        <v>917</v>
      </c>
      <c r="C660" s="9" t="s">
        <v>6</v>
      </c>
      <c r="D660" s="12" t="s">
        <v>918</v>
      </c>
    </row>
    <row r="661">
      <c r="A661" s="5">
        <f>HYPERLINK("https://www.oit.va.gov/Services/TRM/ToolPage.aspx?tid=11806^","CompuRecord")</f>
      </c>
      <c r="B661" s="4" t="s">
        <v>919</v>
      </c>
      <c r="C661" s="9" t="s">
        <v>6</v>
      </c>
      <c r="D661" s="12" t="s">
        <v>132</v>
      </c>
    </row>
    <row r="662">
      <c r="A662" s="5">
        <f>HYPERLINK("https://www.oit.va.gov/Services/TRM/ToolPage.aspx?tid=15245^","ConnectCIC")</f>
      </c>
      <c r="B662" s="4" t="s">
        <v>920</v>
      </c>
      <c r="C662" s="9" t="s">
        <v>6</v>
      </c>
      <c r="D662" s="12" t="s">
        <v>921</v>
      </c>
    </row>
    <row r="663">
      <c r="A663" s="5">
        <f>HYPERLINK("https://www.oit.va.gov/Services/TRM/ToolPage.aspx?tid=15892^","Connecto")</f>
      </c>
      <c r="B663" s="4" t="s">
        <v>922</v>
      </c>
      <c r="C663" s="9" t="s">
        <v>6</v>
      </c>
      <c r="D663" s="12" t="s">
        <v>923</v>
      </c>
    </row>
    <row r="664">
      <c r="A664" s="5">
        <f>HYPERLINK("https://www.oit.va.gov/Services/TRM/ToolPage.aspx?tid=7695^","Connex Central Station (CS)")</f>
      </c>
      <c r="B664" s="4" t="s">
        <v>561</v>
      </c>
      <c r="C664" s="9" t="s">
        <v>6</v>
      </c>
      <c r="D664" s="12" t="s">
        <v>924</v>
      </c>
    </row>
    <row r="665">
      <c r="A665" s="5">
        <f>HYPERLINK("https://www.oit.va.gov/Services/TRM/ToolPage.aspx?tid=7361^","Connex Electronic Vitals Documentation (EVD)")</f>
      </c>
      <c r="B665" s="4" t="s">
        <v>925</v>
      </c>
      <c r="C665" s="9" t="s">
        <v>6</v>
      </c>
      <c r="D665" s="12" t="s">
        <v>926</v>
      </c>
    </row>
    <row r="666">
      <c r="A666" s="5">
        <f>HYPERLINK("https://www.oit.va.gov/Services/TRM/ToolPage.aspx?tid=10525^","Connexall")</f>
      </c>
      <c r="B666" s="4" t="s">
        <v>927</v>
      </c>
      <c r="C666" s="9" t="s">
        <v>6</v>
      </c>
      <c r="D666" s="12" t="s">
        <v>928</v>
      </c>
    </row>
    <row r="667">
      <c r="A667" s="5">
        <f>HYPERLINK("https://www.oit.va.gov/Services/TRM/ToolPage.aspx?tid=11044^","Connexion")</f>
      </c>
      <c r="B667" s="4" t="s">
        <v>882</v>
      </c>
      <c r="C667" s="9" t="s">
        <v>6</v>
      </c>
      <c r="D667" s="12" t="s">
        <v>929</v>
      </c>
    </row>
    <row r="668">
      <c r="A668" s="5">
        <f>HYPERLINK("https://www.oit.va.gov/Services/TRM/ToolPage.aspx?tid=16306^","Consensys")</f>
      </c>
      <c r="B668" s="4" t="s">
        <v>930</v>
      </c>
      <c r="C668" s="9" t="s">
        <v>6</v>
      </c>
      <c r="D668" s="12" t="s">
        <v>931</v>
      </c>
    </row>
    <row r="669">
      <c r="A669" s="5">
        <f>HYPERLINK("https://www.oit.va.gov/Services/TRM/ToolPage.aspx?tid=12805^","Copia")</f>
      </c>
      <c r="B669" s="4" t="s">
        <v>932</v>
      </c>
      <c r="C669" s="9" t="s">
        <v>6</v>
      </c>
      <c r="D669" s="12" t="s">
        <v>933</v>
      </c>
    </row>
    <row r="670">
      <c r="A670" s="5">
        <f>HYPERLINK("https://www.oit.va.gov/Services/TRM/ToolPage.aspx?tid=11227^","Corepoint Integration Engine")</f>
      </c>
      <c r="B670" s="4" t="s">
        <v>934</v>
      </c>
      <c r="C670" s="9" t="s">
        <v>6</v>
      </c>
      <c r="D670" s="12" t="s">
        <v>935</v>
      </c>
    </row>
    <row r="671">
      <c r="A671" s="5">
        <f>HYPERLINK("https://www.oit.va.gov/Services/TRM/ToolPage.aspx?tid=10470^","CoreyPeriop")</f>
      </c>
      <c r="B671" s="4" t="s">
        <v>936</v>
      </c>
      <c r="C671" s="9" t="s">
        <v>6</v>
      </c>
      <c r="D671" s="12" t="s">
        <v>937</v>
      </c>
    </row>
    <row r="672">
      <c r="A672" s="5">
        <f>HYPERLINK("https://www.oit.va.gov/Services/TRM/ToolPage.aspx?tid=16742^","Cority GX2")</f>
      </c>
      <c r="B672" s="4" t="s">
        <v>938</v>
      </c>
      <c r="C672" s="9" t="s">
        <v>6</v>
      </c>
      <c r="D672" s="12" t="s">
        <v>939</v>
      </c>
    </row>
    <row r="673">
      <c r="A673" s="5">
        <f>HYPERLINK("https://www.oit.va.gov/Services/TRM/ToolPage.aspx?tid=6539^","Crowd")</f>
      </c>
      <c r="B673" s="4" t="s">
        <v>829</v>
      </c>
      <c r="C673" s="9" t="s">
        <v>6</v>
      </c>
      <c r="D673" s="12" t="s">
        <v>940</v>
      </c>
    </row>
    <row r="674">
      <c r="A674" s="5">
        <f>HYPERLINK("https://www.oit.va.gov/Services/TRM/ToolPage.aspx?tid=7077^","CruiseControl.NET")</f>
      </c>
      <c r="B674" s="4" t="s">
        <v>941</v>
      </c>
      <c r="C674" s="9" t="s">
        <v>6</v>
      </c>
      <c r="D674" s="12" t="s">
        <v>832</v>
      </c>
    </row>
    <row r="675">
      <c r="A675" s="5">
        <f>HYPERLINK("https://www.oit.va.gov/Services/TRM/ToolPage.aspx?tid=7362^","Crystal Microbiology INteractive Database (MIND)")</f>
      </c>
      <c r="B675" s="4" t="s">
        <v>762</v>
      </c>
      <c r="C675" s="9" t="s">
        <v>6</v>
      </c>
      <c r="D675" s="12" t="s">
        <v>942</v>
      </c>
    </row>
    <row r="676">
      <c r="A676" s="5">
        <f>HYPERLINK("https://www.oit.va.gov/Services/TRM/ToolPage.aspx?tid=5597^","Crystal Reports")</f>
      </c>
      <c r="B676" s="4" t="s">
        <v>205</v>
      </c>
      <c r="C676" s="9" t="s">
        <v>6</v>
      </c>
      <c r="D676" s="12" t="s">
        <v>943</v>
      </c>
    </row>
    <row r="677">
      <c r="A677" s="5">
        <f>HYPERLINK("https://www.oit.va.gov/Services/TRM/ToolPage.aspx?tid=5598^","Crystal Reports Viewer")</f>
      </c>
      <c r="B677" s="4" t="s">
        <v>205</v>
      </c>
      <c r="C677" s="9" t="s">
        <v>6</v>
      </c>
      <c r="D677" s="12" t="s">
        <v>944</v>
      </c>
    </row>
    <row r="678">
      <c r="A678" s="5">
        <f>HYPERLINK("https://www.oit.va.gov/Services/TRM/ToolPage.aspx?tid=10228^","CS-iQ Sterile Processing Workflow Management Software")</f>
      </c>
      <c r="B678" s="4" t="s">
        <v>758</v>
      </c>
      <c r="C678" s="9" t="s">
        <v>6</v>
      </c>
      <c r="D678" s="12" t="s">
        <v>945</v>
      </c>
    </row>
    <row r="679">
      <c r="A679" s="5">
        <f>HYPERLINK("https://www.oit.va.gov/Services/TRM/ToolPage.aspx?tid=9519^","Curry Advanced Image Processing")</f>
      </c>
      <c r="B679" s="4" t="s">
        <v>946</v>
      </c>
      <c r="C679" s="9" t="s">
        <v>6</v>
      </c>
      <c r="D679" s="12" t="s">
        <v>59</v>
      </c>
    </row>
    <row r="680">
      <c r="A680" s="5">
        <f>HYPERLINK("https://www.oit.va.gov/Services/TRM/ToolPage.aspx?tid=9520^","Curry Signal Processing")</f>
      </c>
      <c r="B680" s="4" t="s">
        <v>946</v>
      </c>
      <c r="C680" s="9" t="s">
        <v>6</v>
      </c>
      <c r="D680" s="12" t="s">
        <v>947</v>
      </c>
    </row>
    <row r="681">
      <c r="A681" s="5">
        <f>HYPERLINK("https://www.oit.va.gov/Services/TRM/ToolPage.aspx?tid=16474^","Custom Sound EP")</f>
      </c>
      <c r="B681" s="4" t="s">
        <v>208</v>
      </c>
      <c r="C681" s="9" t="s">
        <v>6</v>
      </c>
      <c r="D681" s="12" t="s">
        <v>948</v>
      </c>
    </row>
    <row r="682">
      <c r="A682" s="5">
        <f>HYPERLINK("https://www.oit.va.gov/Services/TRM/ToolPage.aspx?tid=8018^","Custom Sound Pro")</f>
      </c>
      <c r="B682" s="4" t="s">
        <v>208</v>
      </c>
      <c r="C682" s="9" t="s">
        <v>6</v>
      </c>
      <c r="D682" s="12" t="s">
        <v>949</v>
      </c>
    </row>
    <row r="683">
      <c r="A683" s="5">
        <f>HYPERLINK("https://www.oit.va.gov/Services/TRM/ToolPage.aspx?tid=9433^","Dacima Electronic Data Capture (EDC)")</f>
      </c>
      <c r="B683" s="4" t="s">
        <v>950</v>
      </c>
      <c r="C683" s="9" t="s">
        <v>6</v>
      </c>
      <c r="D683" s="12" t="s">
        <v>951</v>
      </c>
    </row>
    <row r="684">
      <c r="A684" s="5">
        <f>HYPERLINK("https://www.oit.va.gov/Services/TRM/ToolPage.aspx?tid=11698^","Data Analytics Tool (DAT)")</f>
      </c>
      <c r="B684" s="4" t="s">
        <v>952</v>
      </c>
      <c r="C684" s="9" t="s">
        <v>6</v>
      </c>
      <c r="D684" s="12" t="s">
        <v>953</v>
      </c>
    </row>
    <row r="685">
      <c r="A685" s="5">
        <f>HYPERLINK("https://www.oit.va.gov/Services/TRM/ToolPage.aspx?tid=14655^","Data Exchange Layer (DXL)")</f>
      </c>
      <c r="B685" s="4" t="s">
        <v>954</v>
      </c>
      <c r="C685" s="9" t="s">
        <v>6</v>
      </c>
      <c r="D685" s="12" t="s">
        <v>955</v>
      </c>
    </row>
    <row r="686">
      <c r="A686" s="5">
        <f>HYPERLINK("https://www.oit.va.gov/Services/TRM/ToolPage.aspx?tid=14323^","Database (DB) Bullet")</f>
      </c>
      <c r="B686" s="4" t="s">
        <v>956</v>
      </c>
      <c r="C686" s="9" t="s">
        <v>6</v>
      </c>
      <c r="D686" s="12" t="s">
        <v>957</v>
      </c>
    </row>
    <row r="687">
      <c r="A687" s="5">
        <f>HYPERLINK("https://www.oit.va.gov/Services/TRM/ToolPage.aspx?tid=9118^","Datacap")</f>
      </c>
      <c r="B687" s="4" t="s">
        <v>233</v>
      </c>
      <c r="C687" s="9" t="s">
        <v>6</v>
      </c>
      <c r="D687" s="12" t="s">
        <v>958</v>
      </c>
    </row>
    <row r="688">
      <c r="A688" s="5">
        <f>HYPERLINK("https://www.oit.va.gov/Services/TRM/ToolPage.aspx?tid=8159^","Day-of-Care")</f>
      </c>
      <c r="B688" s="4" t="s">
        <v>824</v>
      </c>
      <c r="C688" s="9" t="s">
        <v>6</v>
      </c>
      <c r="D688" s="12" t="s">
        <v>959</v>
      </c>
    </row>
    <row r="689">
      <c r="A689" s="5">
        <f>HYPERLINK("https://www.oit.va.gov/Services/TRM/ToolPage.aspx?tid=16684^","DBeaver Enterprise")</f>
      </c>
      <c r="B689" s="4" t="s">
        <v>960</v>
      </c>
      <c r="C689" s="9" t="s">
        <v>6</v>
      </c>
      <c r="D689" s="12" t="s">
        <v>961</v>
      </c>
    </row>
    <row r="690">
      <c r="A690" s="5">
        <f>HYPERLINK("https://www.oit.va.gov/Services/TRM/ToolPage.aspx?tid=14174^","dbExpress")</f>
      </c>
      <c r="B690" s="4" t="s">
        <v>962</v>
      </c>
      <c r="C690" s="9" t="s">
        <v>6</v>
      </c>
      <c r="D690" s="12" t="s">
        <v>963</v>
      </c>
    </row>
    <row r="691">
      <c r="A691" s="5">
        <f>HYPERLINK("https://www.oit.va.gov/Services/TRM/ToolPage.aspx?tid=14164^","DbUp")</f>
      </c>
      <c r="B691" s="4" t="s">
        <v>964</v>
      </c>
      <c r="C691" s="9" t="s">
        <v>6</v>
      </c>
      <c r="D691" s="12" t="s">
        <v>965</v>
      </c>
    </row>
    <row r="692">
      <c r="A692" s="5">
        <f>HYPERLINK("https://www.oit.va.gov/Services/TRM/ToolPage.aspx?tid=5804^","Decision Server")</f>
      </c>
      <c r="B692" s="4" t="s">
        <v>233</v>
      </c>
      <c r="C692" s="9" t="s">
        <v>6</v>
      </c>
      <c r="D692" s="12" t="s">
        <v>966</v>
      </c>
    </row>
    <row r="693">
      <c r="A693" s="5">
        <f>HYPERLINK("https://www.oit.va.gov/Services/TRM/ToolPage.aspx?tid=6562^","DevExpress ASP.NET MVC")</f>
      </c>
      <c r="B693" s="4" t="s">
        <v>744</v>
      </c>
      <c r="C693" s="9" t="s">
        <v>6</v>
      </c>
      <c r="D693" s="12" t="s">
        <v>967</v>
      </c>
    </row>
    <row r="694">
      <c r="A694" s="5">
        <f>HYPERLINK("https://www.oit.va.gov/Services/TRM/ToolPage.aspx?tid=11596^","Device Emulator")</f>
      </c>
      <c r="B694" s="4" t="s">
        <v>5</v>
      </c>
      <c r="C694" s="9" t="s">
        <v>6</v>
      </c>
      <c r="D694" s="12" t="s">
        <v>107</v>
      </c>
    </row>
    <row r="695">
      <c r="A695" s="5">
        <f>HYPERLINK("https://www.oit.va.gov/Services/TRM/ToolPage.aspx?tid=15673^","DFexplore")</f>
      </c>
      <c r="B695" s="4" t="s">
        <v>968</v>
      </c>
      <c r="C695" s="9" t="s">
        <v>6</v>
      </c>
      <c r="D695" s="12" t="s">
        <v>891</v>
      </c>
    </row>
    <row r="696">
      <c r="A696" s="5">
        <f>HYPERLINK("https://www.oit.va.gov/Services/TRM/ToolPage.aspx?tid=6757^","Diabetes Management Software")</f>
      </c>
      <c r="B696" s="4" t="s">
        <v>969</v>
      </c>
      <c r="C696" s="9" t="s">
        <v>6</v>
      </c>
      <c r="D696" s="12" t="s">
        <v>970</v>
      </c>
    </row>
    <row r="697">
      <c r="A697" s="5">
        <f>HYPERLINK("https://www.oit.va.gov/Services/TRM/ToolPage.aspx?tid=9366^","Dialysis Manager")</f>
      </c>
      <c r="B697" s="4" t="s">
        <v>971</v>
      </c>
      <c r="C697" s="9" t="s">
        <v>6</v>
      </c>
      <c r="D697" s="12" t="s">
        <v>972</v>
      </c>
    </row>
    <row r="698">
      <c r="A698" s="5">
        <f>HYPERLINK("https://www.oit.va.gov/Services/TRM/ToolPage.aspx?tid=6848^","DiffDog")</f>
      </c>
      <c r="B698" s="4" t="s">
        <v>973</v>
      </c>
      <c r="C698" s="9" t="s">
        <v>6</v>
      </c>
      <c r="D698" s="12" t="s">
        <v>974</v>
      </c>
    </row>
    <row r="699">
      <c r="A699" s="5">
        <f>HYPERLINK("https://www.oit.va.gov/Services/TRM/ToolPage.aspx?tid=6248^","Digital Imaging and Communications in Medicine (DICOM) Connectivity Framework (DCF)")</f>
      </c>
      <c r="B699" s="4" t="s">
        <v>975</v>
      </c>
      <c r="C699" s="9" t="s">
        <v>6</v>
      </c>
      <c r="D699" s="12" t="s">
        <v>976</v>
      </c>
    </row>
    <row r="700">
      <c r="A700" s="5">
        <f>HYPERLINK("https://www.oit.va.gov/Services/TRM/ToolPage.aspx?tid=10018^","Digital Secure Copy (DISCO)")</f>
      </c>
      <c r="B700" s="4" t="s">
        <v>977</v>
      </c>
      <c r="C700" s="9" t="s">
        <v>6</v>
      </c>
      <c r="D700" s="12" t="s">
        <v>978</v>
      </c>
    </row>
    <row r="701">
      <c r="A701" s="5">
        <f>HYPERLINK("https://www.oit.va.gov/Services/TRM/ToolPage.aspx?tid=15130^","Digital.ai Agility")</f>
      </c>
      <c r="B701" s="4" t="s">
        <v>979</v>
      </c>
      <c r="C701" s="9" t="s">
        <v>6</v>
      </c>
      <c r="D701" s="12" t="s">
        <v>980</v>
      </c>
    </row>
    <row r="702">
      <c r="A702" s="5">
        <f>HYPERLINK("https://www.oit.va.gov/Services/TRM/ToolPage.aspx?tid=8000^","DigiView Cardiovascular Information System (CVIS)")</f>
      </c>
      <c r="B702" s="4" t="s">
        <v>981</v>
      </c>
      <c r="C702" s="9" t="s">
        <v>6</v>
      </c>
      <c r="D702" s="12" t="s">
        <v>982</v>
      </c>
    </row>
    <row r="703">
      <c r="A703" s="5">
        <f>HYPERLINK("https://www.oit.va.gov/Services/TRM/ToolPage.aspx?tid=7337^","Doc-To-Help")</f>
      </c>
      <c r="B703" s="4" t="s">
        <v>983</v>
      </c>
      <c r="C703" s="9" t="s">
        <v>6</v>
      </c>
      <c r="D703" s="12" t="s">
        <v>984</v>
      </c>
    </row>
    <row r="704">
      <c r="A704" s="5">
        <f>HYPERLINK("https://www.oit.va.gov/Services/TRM/ToolPage.aspx?tid=15783^","Document Storage System (DSS) Infusion Therapy Manager (ITM)")</f>
      </c>
      <c r="B704" s="4" t="s">
        <v>294</v>
      </c>
      <c r="C704" s="9" t="s">
        <v>6</v>
      </c>
      <c r="D704" s="12" t="s">
        <v>572</v>
      </c>
    </row>
    <row r="705">
      <c r="A705" s="5">
        <f>HYPERLINK("https://www.oit.va.gov/Services/TRM/ToolPage.aspx?tid=9147^","Document Storage Systems (DSS) Caribou Community Living Care (CLC) Suite")</f>
      </c>
      <c r="B705" s="4" t="s">
        <v>294</v>
      </c>
      <c r="C705" s="9" t="s">
        <v>6</v>
      </c>
      <c r="D705" s="12" t="s">
        <v>985</v>
      </c>
    </row>
    <row r="706">
      <c r="A706" s="5">
        <f>HYPERLINK("https://www.oit.va.gov/Services/TRM/ToolPage.aspx?tid=9591^","Document Storage Systems (DSS) CyberREN")</f>
      </c>
      <c r="B706" s="4" t="s">
        <v>294</v>
      </c>
      <c r="C706" s="9" t="s">
        <v>6</v>
      </c>
      <c r="D706" s="12" t="s">
        <v>165</v>
      </c>
    </row>
    <row r="707">
      <c r="A707" s="5">
        <f>HYPERLINK("https://www.oit.va.gov/Services/TRM/ToolPage.aspx?tid=10967^","Document Storage Systems (DSS) Data Miner")</f>
      </c>
      <c r="B707" s="4" t="s">
        <v>294</v>
      </c>
      <c r="C707" s="9" t="s">
        <v>6</v>
      </c>
      <c r="D707" s="12" t="s">
        <v>986</v>
      </c>
    </row>
    <row r="708">
      <c r="A708" s="5">
        <f>HYPERLINK("https://www.oit.va.gov/Services/TRM/ToolPage.aspx?tid=7722^","Document Storage Systems (DSS) DocManager")</f>
      </c>
      <c r="B708" s="4" t="s">
        <v>294</v>
      </c>
      <c r="C708" s="9" t="s">
        <v>6</v>
      </c>
      <c r="D708" s="12" t="s">
        <v>987</v>
      </c>
    </row>
    <row r="709">
      <c r="A709" s="5">
        <f>HYPERLINK("https://www.oit.va.gov/Services/TRM/ToolPage.aspx?tid=10968^","Document Storage Systems (DSS) ForSite2020")</f>
      </c>
      <c r="B709" s="4" t="s">
        <v>294</v>
      </c>
      <c r="C709" s="9" t="s">
        <v>6</v>
      </c>
      <c r="D709" s="12" t="s">
        <v>988</v>
      </c>
    </row>
    <row r="710">
      <c r="A710" s="5">
        <f>HYPERLINK("https://www.oit.va.gov/Services/TRM/ToolPage.aspx?tid=9707^","Document Storage Systems (DSS) Iconic Data Patient Case Manager (PCM) High Reliability Organization (HRO) Platform")</f>
      </c>
      <c r="B710" s="4" t="s">
        <v>294</v>
      </c>
      <c r="C710" s="9" t="s">
        <v>6</v>
      </c>
      <c r="D710" s="12" t="s">
        <v>989</v>
      </c>
    </row>
    <row r="711">
      <c r="A711" s="5">
        <f>HYPERLINK("https://www.oit.va.gov/Services/TRM/ToolPage.aspx?tid=8971^","Document Storage Systems (DSS) Insurance Capture Buffer (ICB)")</f>
      </c>
      <c r="B711" s="4" t="s">
        <v>294</v>
      </c>
      <c r="C711" s="9" t="s">
        <v>6</v>
      </c>
      <c r="D711" s="12" t="s">
        <v>990</v>
      </c>
    </row>
    <row r="712">
      <c r="A712" s="5">
        <f>HYPERLINK("https://www.oit.va.gov/Services/TRM/ToolPage.aspx?tid=7544^","Document Storage Systems (DSS) Veterans Information Systems and Technology Architecture (VistA) Chemotherapy Manager (VCM)")</f>
      </c>
      <c r="B712" s="4" t="s">
        <v>294</v>
      </c>
      <c r="C712" s="9" t="s">
        <v>6</v>
      </c>
      <c r="D712" s="12" t="s">
        <v>991</v>
      </c>
    </row>
    <row r="713">
      <c r="A713" s="5">
        <f>HYPERLINK("https://www.oit.va.gov/Services/TRM/ToolPage.aspx?tid=9505^","Document Storage Systems (DSS) VistA Service Oriented Architecture (SOA) Suite")</f>
      </c>
      <c r="B713" s="4" t="s">
        <v>294</v>
      </c>
      <c r="C713" s="9" t="s">
        <v>6</v>
      </c>
      <c r="D713" s="12" t="s">
        <v>992</v>
      </c>
    </row>
    <row r="714">
      <c r="A714" s="5">
        <f>HYPERLINK("https://www.oit.va.gov/Services/TRM/ToolPage.aspx?tid=10528^","DoseWise Portal")</f>
      </c>
      <c r="B714" s="4" t="s">
        <v>919</v>
      </c>
      <c r="C714" s="9" t="s">
        <v>6</v>
      </c>
      <c r="D714" s="12" t="s">
        <v>993</v>
      </c>
    </row>
    <row r="715">
      <c r="A715" s="5">
        <f>HYPERLINK("https://www.oit.va.gov/Services/TRM/ToolPage.aspx?tid=9579^","DotNetNuke (DNN)")</f>
      </c>
      <c r="B715" s="4" t="s">
        <v>994</v>
      </c>
      <c r="C715" s="9" t="s">
        <v>6</v>
      </c>
      <c r="D715" s="12" t="s">
        <v>995</v>
      </c>
    </row>
    <row r="716">
      <c r="A716" s="5">
        <f>HYPERLINK("https://www.oit.va.gov/Services/TRM/ToolPage.aspx?tid=6251^","Dragon Medical Network Edition (DMNE)")</f>
      </c>
      <c r="B716" s="4" t="s">
        <v>342</v>
      </c>
      <c r="C716" s="9" t="s">
        <v>6</v>
      </c>
      <c r="D716" s="12" t="s">
        <v>996</v>
      </c>
    </row>
    <row r="717">
      <c r="A717" s="5">
        <f>HYPERLINK("https://www.oit.va.gov/Services/TRM/ToolPage.aspx?tid=8609^","DSS Advanced Prosthetics Acquisition Tool (APAT)")</f>
      </c>
      <c r="B717" s="4" t="s">
        <v>294</v>
      </c>
      <c r="C717" s="9" t="s">
        <v>6</v>
      </c>
      <c r="D717" s="12" t="s">
        <v>997</v>
      </c>
    </row>
    <row r="718">
      <c r="A718" s="5">
        <f>HYPERLINK("https://www.oit.va.gov/Services/TRM/ToolPage.aspx?tid=8603^","DSS Dental Record Manager (DRM) Plus")</f>
      </c>
      <c r="B718" s="4" t="s">
        <v>294</v>
      </c>
      <c r="C718" s="9" t="s">
        <v>6</v>
      </c>
      <c r="D718" s="12" t="s">
        <v>998</v>
      </c>
    </row>
    <row r="719">
      <c r="A719" s="5">
        <f>HYPERLINK("https://www.oit.va.gov/Services/TRM/ToolPage.aspx?tid=8970^","DSS Enterprise Manager")</f>
      </c>
      <c r="B719" s="4" t="s">
        <v>294</v>
      </c>
      <c r="C719" s="9" t="s">
        <v>6</v>
      </c>
      <c r="D719" s="12" t="s">
        <v>999</v>
      </c>
    </row>
    <row r="720">
      <c r="A720" s="5">
        <f>HYPERLINK("https://www.oit.va.gov/Services/TRM/ToolPage.aspx?tid=13000^","DSS RadWise")</f>
      </c>
      <c r="B720" s="4" t="s">
        <v>294</v>
      </c>
      <c r="C720" s="9" t="s">
        <v>6</v>
      </c>
      <c r="D720" s="12" t="s">
        <v>1000</v>
      </c>
    </row>
    <row r="721">
      <c r="A721" s="5">
        <f>HYPERLINK("https://www.oit.va.gov/Services/TRM/ToolPage.aspx?tid=14515^","dtSearch")</f>
      </c>
      <c r="B721" s="4" t="s">
        <v>1001</v>
      </c>
      <c r="C721" s="9" t="s">
        <v>6</v>
      </c>
      <c r="D721" s="12" t="s">
        <v>1002</v>
      </c>
    </row>
    <row r="722">
      <c r="A722" s="5">
        <f>HYPERLINK("https://www.oit.va.gov/Services/TRM/ToolPage.aspx?tid=10339^","Dyna Computer Aided Detection (CAD)")</f>
      </c>
      <c r="B722" s="4" t="s">
        <v>1003</v>
      </c>
      <c r="C722" s="9" t="s">
        <v>6</v>
      </c>
      <c r="D722" s="12" t="s">
        <v>1004</v>
      </c>
    </row>
    <row r="723">
      <c r="A723" s="5">
        <f>HYPERLINK("https://www.oit.va.gov/Services/TRM/ToolPage.aspx?tid=10613^","Easy Document Creator")</f>
      </c>
      <c r="B723" s="4" t="s">
        <v>302</v>
      </c>
      <c r="C723" s="9" t="s">
        <v>6</v>
      </c>
      <c r="D723" s="12" t="s">
        <v>1005</v>
      </c>
    </row>
    <row r="724">
      <c r="A724" s="5">
        <f>HYPERLINK("https://www.oit.va.gov/Services/TRM/ToolPage.aspx?tid=9824^","EasyOne Connect")</f>
      </c>
      <c r="B724" s="4" t="s">
        <v>1006</v>
      </c>
      <c r="C724" s="9" t="s">
        <v>6</v>
      </c>
      <c r="D724" s="12" t="s">
        <v>1007</v>
      </c>
    </row>
    <row r="725">
      <c r="A725" s="5">
        <f>HYPERLINK("https://www.oit.va.gov/Services/TRM/ToolPage.aspx?tid=9872^","eCareManager")</f>
      </c>
      <c r="B725" s="4" t="s">
        <v>919</v>
      </c>
      <c r="C725" s="9" t="s">
        <v>6</v>
      </c>
      <c r="D725" s="12" t="s">
        <v>191</v>
      </c>
    </row>
    <row r="726">
      <c r="A726" s="5">
        <f>HYPERLINK("https://www.oit.va.gov/Services/TRM/ToolPage.aspx?tid=5521^","eGain Knowledge+AI")</f>
      </c>
      <c r="B726" s="4" t="s">
        <v>1008</v>
      </c>
      <c r="C726" s="9" t="s">
        <v>6</v>
      </c>
      <c r="D726" s="12" t="s">
        <v>1009</v>
      </c>
    </row>
    <row r="727">
      <c r="A727" s="5">
        <f>HYPERLINK("https://www.oit.va.gov/Services/TRM/ToolPage.aspx?tid=13785^","EIRIS Management Software")</f>
      </c>
      <c r="B727" s="4" t="s">
        <v>1010</v>
      </c>
      <c r="C727" s="9" t="s">
        <v>6</v>
      </c>
      <c r="D727" s="12" t="s">
        <v>1011</v>
      </c>
    </row>
    <row r="728">
      <c r="A728" s="5">
        <f>HYPERLINK("https://www.oit.va.gov/Services/TRM/ToolPage.aspx?tid=13734^","eKinnex")</f>
      </c>
      <c r="B728" s="4" t="s">
        <v>1012</v>
      </c>
      <c r="C728" s="9" t="s">
        <v>6</v>
      </c>
      <c r="D728" s="12" t="s">
        <v>1013</v>
      </c>
    </row>
    <row r="729">
      <c r="A729" s="5">
        <f>HYPERLINK("https://www.oit.va.gov/Services/TRM/ToolPage.aspx?tid=8232^","Electronic Data Capture (EDC)")</f>
      </c>
      <c r="B729" s="4" t="s">
        <v>1014</v>
      </c>
      <c r="C729" s="9" t="s">
        <v>6</v>
      </c>
      <c r="D729" s="12" t="s">
        <v>1015</v>
      </c>
    </row>
    <row r="730">
      <c r="A730" s="5">
        <f>HYPERLINK("https://www.oit.va.gov/Services/TRM/ToolPage.aspx?tid=11700^","Elite Healthcare Supply Chain Management (SCM)")</f>
      </c>
      <c r="B730" s="4" t="s">
        <v>1016</v>
      </c>
      <c r="C730" s="9" t="s">
        <v>6</v>
      </c>
      <c r="D730" s="12" t="s">
        <v>1017</v>
      </c>
    </row>
    <row r="731">
      <c r="A731" s="5">
        <f>HYPERLINK("https://www.oit.va.gov/Services/TRM/ToolPage.aspx?tid=7218^","EncorePro 2")</f>
      </c>
      <c r="B731" s="4" t="s">
        <v>919</v>
      </c>
      <c r="C731" s="9" t="s">
        <v>6</v>
      </c>
      <c r="D731" s="12" t="s">
        <v>1018</v>
      </c>
    </row>
    <row r="732">
      <c r="A732" s="5">
        <f>HYPERLINK("https://www.oit.va.gov/Services/TRM/ToolPage.aspx?tid=15735^","EndoManager Imaging")</f>
      </c>
      <c r="B732" s="4" t="s">
        <v>1019</v>
      </c>
      <c r="C732" s="9" t="s">
        <v>6</v>
      </c>
      <c r="D732" s="12" t="s">
        <v>1020</v>
      </c>
    </row>
    <row r="733">
      <c r="A733" s="5">
        <f>HYPERLINK("https://www.oit.va.gov/Services/TRM/ToolPage.aspx?tid=11611^","EndoScan-V")</f>
      </c>
      <c r="B733" s="4" t="s">
        <v>1021</v>
      </c>
      <c r="C733" s="9" t="s">
        <v>6</v>
      </c>
      <c r="D733" s="12" t="s">
        <v>1022</v>
      </c>
    </row>
    <row r="734">
      <c r="A734" s="5">
        <f>HYPERLINK("https://www.oit.va.gov/Services/TRM/ToolPage.aspx?tid=5967^","EndoTool Glucose Management System")</f>
      </c>
      <c r="B734" s="4" t="s">
        <v>1023</v>
      </c>
      <c r="C734" s="9" t="s">
        <v>6</v>
      </c>
      <c r="D734" s="12" t="s">
        <v>761</v>
      </c>
    </row>
    <row r="735">
      <c r="A735" s="5">
        <f>HYPERLINK("https://www.oit.va.gov/Services/TRM/ToolPage.aspx?tid=9255^","EndoVault Electronic Health Record (EHR)")</f>
      </c>
      <c r="B735" s="4" t="s">
        <v>1024</v>
      </c>
      <c r="C735" s="9" t="s">
        <v>6</v>
      </c>
      <c r="D735" s="12" t="s">
        <v>1025</v>
      </c>
    </row>
    <row r="736">
      <c r="A736" s="5">
        <f>HYPERLINK("https://www.oit.va.gov/Services/TRM/ToolPage.aspx?tid=15149^","Enghouse Interactive: Quality Management Suite")</f>
      </c>
      <c r="B736" s="4" t="s">
        <v>1026</v>
      </c>
      <c r="C736" s="9" t="s">
        <v>6</v>
      </c>
      <c r="D736" s="12" t="s">
        <v>1027</v>
      </c>
    </row>
    <row r="737">
      <c r="A737" s="5">
        <f>HYPERLINK("https://www.oit.va.gov/Services/TRM/ToolPage.aspx?tid=14647^","Enterprise Imaging (EI)")</f>
      </c>
      <c r="B737" s="4" t="s">
        <v>706</v>
      </c>
      <c r="C737" s="9" t="s">
        <v>6</v>
      </c>
      <c r="D737" s="12" t="s">
        <v>1028</v>
      </c>
    </row>
    <row r="738">
      <c r="A738" s="5">
        <f>HYPERLINK("https://www.oit.va.gov/Services/TRM/ToolPage.aspx?tid=6854^","Enterprise Records")</f>
      </c>
      <c r="B738" s="4" t="s">
        <v>233</v>
      </c>
      <c r="C738" s="9" t="s">
        <v>6</v>
      </c>
      <c r="D738" s="12" t="s">
        <v>1029</v>
      </c>
    </row>
    <row r="739">
      <c r="A739" s="5">
        <f>HYPERLINK("https://www.oit.va.gov/Services/TRM/ToolPage.aspx?tid=5970^","EPI Builder")</f>
      </c>
      <c r="B739" s="4" t="s">
        <v>1030</v>
      </c>
      <c r="C739" s="9" t="s">
        <v>6</v>
      </c>
      <c r="D739" s="12" t="s">
        <v>1007</v>
      </c>
    </row>
    <row r="740">
      <c r="A740" s="5">
        <f>HYPERLINK("https://www.oit.va.gov/Services/TRM/ToolPage.aspx?tid=9387^","Epi Info")</f>
      </c>
      <c r="B740" s="4" t="s">
        <v>734</v>
      </c>
      <c r="C740" s="9" t="s">
        <v>6</v>
      </c>
      <c r="D740" s="12" t="s">
        <v>1031</v>
      </c>
    </row>
    <row r="741">
      <c r="A741" s="5">
        <f>HYPERLINK("https://www.oit.va.gov/Services/TRM/ToolPage.aspx?tid=14614^","E-Plex Standard Software")</f>
      </c>
      <c r="B741" s="4" t="s">
        <v>1032</v>
      </c>
      <c r="C741" s="9" t="s">
        <v>6</v>
      </c>
      <c r="D741" s="12" t="s">
        <v>1033</v>
      </c>
    </row>
    <row r="742">
      <c r="A742" s="5">
        <f>HYPERLINK("https://www.oit.va.gov/Services/TRM/ToolPage.aspx?tid=7047^","ER/Studio Data Architect")</f>
      </c>
      <c r="B742" s="4" t="s">
        <v>1034</v>
      </c>
      <c r="C742" s="9" t="s">
        <v>6</v>
      </c>
      <c r="D742" s="12" t="s">
        <v>375</v>
      </c>
    </row>
    <row r="743">
      <c r="A743" s="5">
        <f>HYPERLINK("https://www.oit.va.gov/Services/TRM/ToolPage.aspx?tid=185^","erwin Data Modeler")</f>
      </c>
      <c r="B743" s="4" t="s">
        <v>1035</v>
      </c>
      <c r="C743" s="9" t="s">
        <v>6</v>
      </c>
      <c r="D743" s="12" t="s">
        <v>18</v>
      </c>
    </row>
    <row r="744">
      <c r="A744" s="5">
        <f>HYPERLINK("https://www.oit.va.gov/Services/TRM/ToolPage.aspx?tid=5972^","Exercise Pro")</f>
      </c>
      <c r="B744" s="4" t="s">
        <v>1036</v>
      </c>
      <c r="C744" s="9" t="s">
        <v>6</v>
      </c>
      <c r="D744" s="12" t="s">
        <v>991</v>
      </c>
    </row>
    <row r="745">
      <c r="A745" s="5">
        <f>HYPERLINK("https://www.oit.va.gov/Services/TRM/ToolPage.aspx?tid=6692^","Expert-24 Delivery Platform")</f>
      </c>
      <c r="B745" s="4" t="s">
        <v>1037</v>
      </c>
      <c r="C745" s="9" t="s">
        <v>6</v>
      </c>
      <c r="D745" s="12" t="s">
        <v>1038</v>
      </c>
    </row>
    <row r="746">
      <c r="A746" s="5">
        <f>HYPERLINK("https://www.oit.va.gov/Services/TRM/ToolPage.aspx?tid=5093^","Extensible Markup Language (XML)Spy")</f>
      </c>
      <c r="B746" s="4" t="s">
        <v>973</v>
      </c>
      <c r="C746" s="9" t="s">
        <v>6</v>
      </c>
      <c r="D746" s="12" t="s">
        <v>1039</v>
      </c>
    </row>
    <row r="747">
      <c r="A747" s="5">
        <f>HYPERLINK("https://www.oit.va.gov/Services/TRM/ToolPage.aspx?tid=16530^","EyeSeeCam video head impulse test (vHIT)")</f>
      </c>
      <c r="B747" s="4" t="s">
        <v>760</v>
      </c>
      <c r="C747" s="9" t="s">
        <v>6</v>
      </c>
      <c r="D747" s="12" t="s">
        <v>1040</v>
      </c>
    </row>
    <row r="748">
      <c r="A748" s="5">
        <f>HYPERLINK("https://www.oit.va.gov/Services/TRM/ToolPage.aspx?tid=16316^","Fast Application Programming Interface (FastAPI)")</f>
      </c>
      <c r="B748" s="4" t="s">
        <v>1041</v>
      </c>
      <c r="C748" s="9" t="s">
        <v>6</v>
      </c>
      <c r="D748" s="12" t="s">
        <v>1042</v>
      </c>
    </row>
    <row r="749">
      <c r="A749" s="5">
        <f>HYPERLINK("https://www.oit.va.gov/Services/TRM/ToolPage.aspx?tid=8711^","Feith Document Database (FDD)")</f>
      </c>
      <c r="B749" s="4" t="s">
        <v>194</v>
      </c>
      <c r="C749" s="9" t="s">
        <v>6</v>
      </c>
      <c r="D749" s="12" t="s">
        <v>1043</v>
      </c>
    </row>
    <row r="750">
      <c r="A750" s="5">
        <f>HYPERLINK("https://www.oit.va.gov/Services/TRM/ToolPage.aspx?tid=6853^","FileNet eForms")</f>
      </c>
      <c r="B750" s="4" t="s">
        <v>233</v>
      </c>
      <c r="C750" s="9" t="s">
        <v>6</v>
      </c>
      <c r="D750" s="12" t="s">
        <v>1044</v>
      </c>
    </row>
    <row r="751">
      <c r="A751" s="5">
        <f>HYPERLINK("https://www.oit.va.gov/Services/TRM/ToolPage.aspx?tid=8061^","First DataBank (FDB) MedKnowledge")</f>
      </c>
      <c r="B751" s="4" t="s">
        <v>1045</v>
      </c>
      <c r="C751" s="9" t="s">
        <v>6</v>
      </c>
      <c r="D751" s="12" t="s">
        <v>1046</v>
      </c>
    </row>
    <row r="752">
      <c r="A752" s="5">
        <f>HYPERLINK("https://www.oit.va.gov/Services/TRM/ToolPage.aspx?tid=15156^","FitPro Ultra Fit Test Software")</f>
      </c>
      <c r="B752" s="4" t="s">
        <v>1047</v>
      </c>
      <c r="C752" s="9" t="s">
        <v>6</v>
      </c>
      <c r="D752" s="12" t="s">
        <v>560</v>
      </c>
    </row>
    <row r="753">
      <c r="A753" s="5">
        <f>HYPERLINK("https://www.oit.va.gov/Services/TRM/ToolPage.aspx?tid=14277^","Flow Cytometry Standards (FCS) Express")</f>
      </c>
      <c r="B753" s="4" t="s">
        <v>1048</v>
      </c>
      <c r="C753" s="9" t="s">
        <v>6</v>
      </c>
      <c r="D753" s="12" t="s">
        <v>1049</v>
      </c>
    </row>
    <row r="754">
      <c r="A754" s="5">
        <f>HYPERLINK("https://www.oit.va.gov/Services/TRM/ToolPage.aspx?tid=13832^","FlowBreeze")</f>
      </c>
      <c r="B754" s="4" t="s">
        <v>1050</v>
      </c>
      <c r="C754" s="9" t="s">
        <v>6</v>
      </c>
      <c r="D754" s="12" t="s">
        <v>1051</v>
      </c>
    </row>
    <row r="755">
      <c r="A755" s="5">
        <f>HYPERLINK("https://www.oit.va.gov/Services/TRM/ToolPage.aspx?tid=6866^","Fluent NHibernate")</f>
      </c>
      <c r="B755" s="4" t="s">
        <v>1052</v>
      </c>
      <c r="C755" s="9" t="s">
        <v>6</v>
      </c>
      <c r="D755" s="12" t="s">
        <v>1053</v>
      </c>
    </row>
    <row r="756">
      <c r="A756" s="5">
        <f>HYPERLINK("https://www.oit.va.gov/Services/TRM/ToolPage.aspx?tid=10238^","Flyway")</f>
      </c>
      <c r="B756" s="4" t="s">
        <v>439</v>
      </c>
      <c r="C756" s="9" t="s">
        <v>6</v>
      </c>
      <c r="D756" s="12" t="s">
        <v>1054</v>
      </c>
    </row>
    <row r="757">
      <c r="A757" s="5">
        <f>HYPERLINK("https://www.oit.va.gov/Services/TRM/ToolPage.aspx?tid=7503^","FME Desktop")</f>
      </c>
      <c r="B757" s="4" t="s">
        <v>1055</v>
      </c>
      <c r="C757" s="9" t="s">
        <v>6</v>
      </c>
      <c r="D757" s="12" t="s">
        <v>104</v>
      </c>
    </row>
    <row r="758">
      <c r="A758" s="5">
        <f>HYPERLINK("https://www.oit.va.gov/Services/TRM/ToolPage.aspx?tid=14303^","FocusCare")</f>
      </c>
      <c r="B758" s="4" t="s">
        <v>1056</v>
      </c>
      <c r="C758" s="9" t="s">
        <v>6</v>
      </c>
      <c r="D758" s="12" t="s">
        <v>1057</v>
      </c>
    </row>
    <row r="759">
      <c r="A759" s="5">
        <f>HYPERLINK("https://www.oit.va.gov/Services/TRM/ToolPage.aspx?tid=6157^","Food Processor Nutrition Analysis Software")</f>
      </c>
      <c r="B759" s="4" t="s">
        <v>1058</v>
      </c>
      <c r="C759" s="9" t="s">
        <v>6</v>
      </c>
      <c r="D759" s="12" t="s">
        <v>1059</v>
      </c>
    </row>
    <row r="760">
      <c r="A760" s="5">
        <f>HYPERLINK("https://www.oit.va.gov/Services/TRM/ToolPage.aspx?tid=5926^","FreeStyle CoPilot Health Management System")</f>
      </c>
      <c r="B760" s="4" t="s">
        <v>427</v>
      </c>
      <c r="C760" s="9" t="s">
        <v>6</v>
      </c>
      <c r="D760" s="12" t="s">
        <v>1049</v>
      </c>
    </row>
    <row r="761">
      <c r="A761" s="5">
        <f>HYPERLINK("https://www.oit.va.gov/Services/TRM/ToolPage.aspx?tid=7425^","Freezerworks Sample Management Software")</f>
      </c>
      <c r="B761" s="4" t="s">
        <v>1060</v>
      </c>
      <c r="C761" s="9" t="s">
        <v>6</v>
      </c>
      <c r="D761" s="12" t="s">
        <v>1061</v>
      </c>
    </row>
    <row r="762">
      <c r="A762" s="5">
        <f>HYPERLINK("https://www.oit.va.gov/Services/TRM/ToolPage.aspx?tid=7936^","Frontier")</f>
      </c>
      <c r="B762" s="4" t="s">
        <v>1062</v>
      </c>
      <c r="C762" s="9" t="s">
        <v>6</v>
      </c>
      <c r="D762" s="12" t="s">
        <v>300</v>
      </c>
    </row>
    <row r="763">
      <c r="A763" s="5">
        <f>HYPERLINK("https://www.oit.va.gov/Services/TRM/ToolPage.aspx?tid=6713^","Fujitsu NetCOBOL")</f>
      </c>
      <c r="B763" s="4" t="s">
        <v>1063</v>
      </c>
      <c r="C763" s="9" t="s">
        <v>6</v>
      </c>
      <c r="D763" s="12" t="s">
        <v>1064</v>
      </c>
    </row>
    <row r="764">
      <c r="A764" s="5">
        <f>HYPERLINK("https://www.oit.va.gov/Services/TRM/ToolPage.aspx?tid=13752^","Fusion Server")</f>
      </c>
      <c r="B764" s="4" t="s">
        <v>1065</v>
      </c>
      <c r="C764" s="9" t="s">
        <v>6</v>
      </c>
      <c r="D764" s="12" t="s">
        <v>1066</v>
      </c>
    </row>
    <row r="765">
      <c r="A765" s="5">
        <f>HYPERLINK("https://www.oit.va.gov/Services/TRM/ToolPage.aspx?tid=9826^","FusionReactor")</f>
      </c>
      <c r="B765" s="4" t="s">
        <v>1067</v>
      </c>
      <c r="C765" s="9" t="s">
        <v>6</v>
      </c>
      <c r="D765" s="12" t="s">
        <v>1068</v>
      </c>
    </row>
    <row r="766">
      <c r="A766" s="5">
        <f>HYPERLINK("https://www.oit.va.gov/Services/TRM/ToolPage.aspx?tid=13889^","GAUSS Platform")</f>
      </c>
      <c r="B766" s="4" t="s">
        <v>1069</v>
      </c>
      <c r="C766" s="9" t="s">
        <v>6</v>
      </c>
      <c r="D766" s="12" t="s">
        <v>1070</v>
      </c>
    </row>
    <row r="767">
      <c r="A767" s="5">
        <f>HYPERLINK("https://www.oit.va.gov/Services/TRM/ToolPage.aspx?tid=16434^","GE Capsule Aggregator")</f>
      </c>
      <c r="B767" s="4" t="s">
        <v>874</v>
      </c>
      <c r="C767" s="9" t="s">
        <v>6</v>
      </c>
      <c r="D767" s="12" t="s">
        <v>1071</v>
      </c>
    </row>
    <row r="768">
      <c r="A768" s="5">
        <f>HYPERLINK("https://www.oit.va.gov/Services/TRM/ToolPage.aspx?tid=9694^","Geneious")</f>
      </c>
      <c r="B768" s="4" t="s">
        <v>1072</v>
      </c>
      <c r="C768" s="9" t="s">
        <v>6</v>
      </c>
      <c r="D768" s="12" t="s">
        <v>1073</v>
      </c>
    </row>
    <row r="769">
      <c r="A769" s="5">
        <f>HYPERLINK("https://www.oit.va.gov/Services/TRM/ToolPage.aspx?tid=5617^","Genie")</f>
      </c>
      <c r="B769" s="4" t="s">
        <v>1074</v>
      </c>
      <c r="C769" s="9" t="s">
        <v>6</v>
      </c>
      <c r="D769" s="12" t="s">
        <v>1075</v>
      </c>
    </row>
    <row r="770">
      <c r="A770" s="5">
        <f>HYPERLINK("https://www.oit.va.gov/Services/TRM/ToolPage.aspx?tid=7227^","GenISIS Participant Recruitment and Enrollment (PRE)")</f>
      </c>
      <c r="B770" s="4" t="s">
        <v>1076</v>
      </c>
      <c r="C770" s="9" t="s">
        <v>6</v>
      </c>
      <c r="D770" s="12" t="s">
        <v>1077</v>
      </c>
    </row>
    <row r="771">
      <c r="A771" s="5">
        <f>HYPERLINK("https://www.oit.va.gov/Services/TRM/ToolPage.aspx?tid=10614^","Genomic Data Commons (GDC) Data Transfer Tool")</f>
      </c>
      <c r="B771" s="4" t="s">
        <v>1078</v>
      </c>
      <c r="C771" s="9" t="s">
        <v>6</v>
      </c>
      <c r="D771" s="12" t="s">
        <v>1079</v>
      </c>
    </row>
    <row r="772">
      <c r="A772" s="5">
        <f>HYPERLINK("https://www.oit.va.gov/Services/TRM/ToolPage.aspx?tid=11762^","Global Telehealth Services (GTS) VirtualHealth")</f>
      </c>
      <c r="B772" s="4" t="s">
        <v>1080</v>
      </c>
      <c r="C772" s="9" t="s">
        <v>6</v>
      </c>
      <c r="D772" s="12" t="s">
        <v>1081</v>
      </c>
    </row>
    <row r="773">
      <c r="A773" s="5">
        <f>HYPERLINK("https://www.oit.va.gov/Services/TRM/ToolPage.aspx?tid=14570^","Green’s Advanced Interpretation (AI) Program")</f>
      </c>
      <c r="B773" s="4" t="s">
        <v>1082</v>
      </c>
      <c r="C773" s="9" t="s">
        <v>6</v>
      </c>
      <c r="D773" s="12" t="s">
        <v>1083</v>
      </c>
    </row>
    <row r="774">
      <c r="A774" s="5">
        <f>HYPERLINK("https://www.oit.va.gov/Services/TRM/ToolPage.aspx?tid=6696^","Guardrails Suite MX")</f>
      </c>
      <c r="B774" s="4" t="s">
        <v>762</v>
      </c>
      <c r="C774" s="9" t="s">
        <v>6</v>
      </c>
      <c r="D774" s="12" t="s">
        <v>1084</v>
      </c>
    </row>
    <row r="775">
      <c r="A775" s="5">
        <f>HYPERLINK("https://www.oit.va.gov/Services/TRM/ToolPage.aspx?tid=10656^","HammerDB")</f>
      </c>
      <c r="B775" s="4" t="s">
        <v>1085</v>
      </c>
      <c r="C775" s="9" t="s">
        <v>6</v>
      </c>
      <c r="D775" s="12" t="s">
        <v>1086</v>
      </c>
    </row>
    <row r="776">
      <c r="A776" s="5">
        <f>HYPERLINK("https://www.oit.va.gov/Services/TRM/ToolPage.aspx?tid=9957^","Health Literacy Advisor")</f>
      </c>
      <c r="B776" s="4" t="s">
        <v>1087</v>
      </c>
      <c r="C776" s="9" t="s">
        <v>6</v>
      </c>
      <c r="D776" s="12" t="s">
        <v>1088</v>
      </c>
    </row>
    <row r="777">
      <c r="A777" s="5">
        <f>HYPERLINK("https://www.oit.va.gov/Services/TRM/ToolPage.aspx?tid=10876^","Hemostasis Management System Plus External Data Manager (HMS Plus EDM)")</f>
      </c>
      <c r="B777" s="4" t="s">
        <v>1089</v>
      </c>
      <c r="C777" s="9" t="s">
        <v>6</v>
      </c>
      <c r="D777" s="12" t="s">
        <v>300</v>
      </c>
    </row>
    <row r="778">
      <c r="A778" s="5">
        <f>HYPERLINK("https://www.oit.va.gov/Services/TRM/ToolPage.aspx?tid=11330^","HI-IQ Interventional Radiology Information System (IRIS)")</f>
      </c>
      <c r="B778" s="4" t="s">
        <v>1090</v>
      </c>
      <c r="C778" s="9" t="s">
        <v>6</v>
      </c>
      <c r="D778" s="12" t="s">
        <v>1091</v>
      </c>
    </row>
    <row r="779">
      <c r="A779" s="5">
        <f>HYPERLINK("https://www.oit.va.gov/Services/TRM/ToolPage.aspx?tid=10240^","HistoTrac")</f>
      </c>
      <c r="B779" s="4" t="s">
        <v>716</v>
      </c>
      <c r="C779" s="9" t="s">
        <v>6</v>
      </c>
      <c r="D779" s="12" t="s">
        <v>1092</v>
      </c>
    </row>
    <row r="780">
      <c r="A780" s="5">
        <f>HYPERLINK("https://www.oit.va.gov/Services/TRM/ToolPage.aspx?tid=13044^","HT Pro")</f>
      </c>
      <c r="B780" s="4" t="s">
        <v>1093</v>
      </c>
      <c r="C780" s="9" t="s">
        <v>6</v>
      </c>
      <c r="D780" s="12" t="s">
        <v>412</v>
      </c>
    </row>
    <row r="781">
      <c r="A781" s="5">
        <f>HYPERLINK("https://www.oit.va.gov/Services/TRM/ToolPage.aspx?tid=11210^","Human Leukocyte Antigen (HLA) In Vitro Diagnostic (IVD) Fusion")</f>
      </c>
      <c r="B781" s="4" t="s">
        <v>1094</v>
      </c>
      <c r="C781" s="9" t="s">
        <v>6</v>
      </c>
      <c r="D781" s="12" t="s">
        <v>1095</v>
      </c>
    </row>
    <row r="782">
      <c r="A782" s="5">
        <f>HYPERLINK("https://www.oit.va.gov/Services/TRM/ToolPage.aspx?tid=14307^","Huron Healthcare Revenue Workflow Management Tools")</f>
      </c>
      <c r="B782" s="4" t="s">
        <v>1096</v>
      </c>
      <c r="C782" s="9" t="s">
        <v>6</v>
      </c>
      <c r="D782" s="12" t="s">
        <v>1097</v>
      </c>
    </row>
    <row r="783">
      <c r="A783" s="5">
        <f>HYPERLINK("https://www.oit.va.gov/Services/TRM/ToolPage.aspx?tid=15422^","Hyland Pacsgear Gear View Quality Control (QC)")</f>
      </c>
      <c r="B783" s="4" t="s">
        <v>746</v>
      </c>
      <c r="C783" s="9" t="s">
        <v>6</v>
      </c>
      <c r="D783" s="12" t="s">
        <v>1098</v>
      </c>
    </row>
    <row r="784">
      <c r="A784" s="5">
        <f>HYPERLINK("https://www.oit.va.gov/Services/TRM/ToolPage.aspx?tid=14753^","HyperScience")</f>
      </c>
      <c r="B784" s="4" t="s">
        <v>1099</v>
      </c>
      <c r="C784" s="9" t="s">
        <v>6</v>
      </c>
      <c r="D784" s="12" t="s">
        <v>1100</v>
      </c>
    </row>
    <row r="785">
      <c r="A785" s="5">
        <f>HYPERLINK("https://www.oit.va.gov/Services/TRM/ToolPage.aspx?tid=7623^","iGrafx Process for Six Sigma")</f>
      </c>
      <c r="B785" s="4" t="s">
        <v>1101</v>
      </c>
      <c r="C785" s="9" t="s">
        <v>6</v>
      </c>
      <c r="D785" s="12" t="s">
        <v>1102</v>
      </c>
    </row>
    <row r="786">
      <c r="A786" s="5">
        <f>HYPERLINK("https://www.oit.va.gov/Services/TRM/ToolPage.aspx?tid=6523^","Iguana")</f>
      </c>
      <c r="B786" s="4" t="s">
        <v>1103</v>
      </c>
      <c r="C786" s="9" t="s">
        <v>6</v>
      </c>
      <c r="D786" s="12" t="s">
        <v>1104</v>
      </c>
    </row>
    <row r="787">
      <c r="A787" s="5">
        <f>HYPERLINK("https://www.oit.va.gov/Services/TRM/ToolPage.aspx?tid=16358^","Image Processing Toolbox")</f>
      </c>
      <c r="B787" s="4" t="s">
        <v>1105</v>
      </c>
      <c r="C787" s="9" t="s">
        <v>6</v>
      </c>
      <c r="D787" s="12" t="s">
        <v>1106</v>
      </c>
    </row>
    <row r="788">
      <c r="A788" s="5">
        <f>HYPERLINK("https://www.oit.va.gov/Services/TRM/ToolPage.aspx?tid=5626^","IMAGEnet")</f>
      </c>
      <c r="B788" s="4" t="s">
        <v>1107</v>
      </c>
      <c r="C788" s="9" t="s">
        <v>6</v>
      </c>
      <c r="D788" s="12" t="s">
        <v>39</v>
      </c>
    </row>
    <row r="789">
      <c r="A789" s="5">
        <f>HYPERLINK("https://www.oit.va.gov/Services/TRM/ToolPage.aspx?tid=13272^","imagePROGRAF Print Plug-In for Office")</f>
      </c>
      <c r="B789" s="4" t="s">
        <v>1108</v>
      </c>
      <c r="C789" s="9" t="s">
        <v>6</v>
      </c>
      <c r="D789" s="12" t="s">
        <v>1109</v>
      </c>
    </row>
    <row r="790">
      <c r="A790" s="5">
        <f>HYPERLINK("https://www.oit.va.gov/Services/TRM/ToolPage.aspx?tid=5627^","iMedConsent")</f>
      </c>
      <c r="B790" s="4" t="s">
        <v>1110</v>
      </c>
      <c r="C790" s="9" t="s">
        <v>6</v>
      </c>
      <c r="D790" s="12" t="s">
        <v>1111</v>
      </c>
    </row>
    <row r="791">
      <c r="A791" s="5">
        <f>HYPERLINK("https://www.oit.va.gov/Services/TRM/ToolPage.aspx?tid=5628^","IMPAX")</f>
      </c>
      <c r="B791" s="4" t="s">
        <v>706</v>
      </c>
      <c r="C791" s="9" t="s">
        <v>6</v>
      </c>
      <c r="D791" s="12" t="s">
        <v>412</v>
      </c>
    </row>
    <row r="792">
      <c r="A792" s="5">
        <f>HYPERLINK("https://www.oit.va.gov/Services/TRM/ToolPage.aspx?tid=34^","Imprivata Caradigm Single Sign-On (SSO) and Context Management (CM)")</f>
      </c>
      <c r="B792" s="4" t="s">
        <v>1112</v>
      </c>
      <c r="C792" s="9" t="s">
        <v>6</v>
      </c>
      <c r="D792" s="12" t="s">
        <v>1113</v>
      </c>
    </row>
    <row r="793">
      <c r="A793" s="5">
        <f>HYPERLINK("https://www.oit.va.gov/Services/TRM/ToolPage.aspx?tid=14258^","InCare Equipment Tracking System")</f>
      </c>
      <c r="B793" s="4" t="s">
        <v>1114</v>
      </c>
      <c r="C793" s="9" t="s">
        <v>6</v>
      </c>
      <c r="D793" s="12" t="s">
        <v>1115</v>
      </c>
    </row>
    <row r="794">
      <c r="A794" s="5">
        <f>HYPERLINK("https://www.oit.va.gov/Services/TRM/ToolPage.aspx?tid=9025^","Infinity Analyze")</f>
      </c>
      <c r="B794" s="4" t="s">
        <v>1116</v>
      </c>
      <c r="C794" s="9" t="s">
        <v>6</v>
      </c>
      <c r="D794" s="12" t="s">
        <v>1117</v>
      </c>
    </row>
    <row r="795">
      <c r="A795" s="5">
        <f>HYPERLINK("https://www.oit.va.gov/Services/TRM/ToolPage.aspx?tid=9779^","Info HQ")</f>
      </c>
      <c r="B795" s="4" t="s">
        <v>427</v>
      </c>
      <c r="C795" s="9" t="s">
        <v>6</v>
      </c>
      <c r="D795" s="12" t="s">
        <v>1118</v>
      </c>
    </row>
    <row r="796">
      <c r="A796" s="5">
        <f>HYPERLINK("https://www.oit.va.gov/Services/TRM/ToolPage.aspx?tid=6642^","Informatica Data Quality")</f>
      </c>
      <c r="B796" s="4" t="s">
        <v>1119</v>
      </c>
      <c r="C796" s="9" t="s">
        <v>6</v>
      </c>
      <c r="D796" s="12" t="s">
        <v>1120</v>
      </c>
    </row>
    <row r="797">
      <c r="A797" s="5">
        <f>HYPERLINK("https://www.oit.va.gov/Services/TRM/ToolPage.aspx?tid=11685^","Informatica Enterprise Information Catalog")</f>
      </c>
      <c r="B797" s="4" t="s">
        <v>1119</v>
      </c>
      <c r="C797" s="9" t="s">
        <v>6</v>
      </c>
      <c r="D797" s="12" t="s">
        <v>1121</v>
      </c>
    </row>
    <row r="798">
      <c r="A798" s="5">
        <f>HYPERLINK("https://www.oit.va.gov/Services/TRM/ToolPage.aspx?tid=6643^","Informatica Identity Resolution")</f>
      </c>
      <c r="B798" s="4" t="s">
        <v>1119</v>
      </c>
      <c r="C798" s="9" t="s">
        <v>6</v>
      </c>
      <c r="D798" s="12" t="s">
        <v>1064</v>
      </c>
    </row>
    <row r="799">
      <c r="A799" s="5">
        <f>HYPERLINK("https://www.oit.va.gov/Services/TRM/ToolPage.aspx?tid=11704^","Informatica Master Data Management (MDM) Multidomain")</f>
      </c>
      <c r="B799" s="4" t="s">
        <v>1119</v>
      </c>
      <c r="C799" s="9" t="s">
        <v>6</v>
      </c>
      <c r="D799" s="12" t="s">
        <v>1122</v>
      </c>
    </row>
    <row r="800">
      <c r="A800" s="5">
        <f>HYPERLINK("https://www.oit.va.gov/Services/TRM/ToolPage.aspx?tid=6644^","Informatica PowerCenter")</f>
      </c>
      <c r="B800" s="4" t="s">
        <v>1119</v>
      </c>
      <c r="C800" s="9" t="s">
        <v>6</v>
      </c>
      <c r="D800" s="12" t="s">
        <v>1123</v>
      </c>
    </row>
    <row r="801">
      <c r="A801" s="5">
        <f>HYPERLINK("https://www.oit.va.gov/Services/TRM/ToolPage.aspx?tid=5815^","InfoSphere Master Data Management (MDM)")</f>
      </c>
      <c r="B801" s="4" t="s">
        <v>233</v>
      </c>
      <c r="C801" s="9" t="s">
        <v>6</v>
      </c>
      <c r="D801" s="12" t="s">
        <v>1124</v>
      </c>
    </row>
    <row r="802">
      <c r="A802" s="5">
        <f>HYPERLINK("https://www.oit.va.gov/Services/TRM/ToolPage.aspx?tid=10827^","InfoSphere Optim Test Data Management")</f>
      </c>
      <c r="B802" s="4" t="s">
        <v>233</v>
      </c>
      <c r="C802" s="9" t="s">
        <v>6</v>
      </c>
      <c r="D802" s="12" t="s">
        <v>1123</v>
      </c>
    </row>
    <row r="803">
      <c r="A803" s="5">
        <f>HYPERLINK("https://www.oit.va.gov/Services/TRM/ToolPage.aspx?tid=7755^","Innovian Non-Clinical Anesthesia Record Keeping Clinical Information System")</f>
      </c>
      <c r="B803" s="4" t="s">
        <v>1125</v>
      </c>
      <c r="C803" s="9" t="s">
        <v>6</v>
      </c>
      <c r="D803" s="12" t="s">
        <v>416</v>
      </c>
    </row>
    <row r="804">
      <c r="A804" s="5">
        <f>HYPERLINK("https://www.oit.va.gov/Services/TRM/ToolPage.aspx?tid=8627^","Inquisit Web")</f>
      </c>
      <c r="B804" s="4" t="s">
        <v>1126</v>
      </c>
      <c r="C804" s="9" t="s">
        <v>6</v>
      </c>
      <c r="D804" s="12" t="s">
        <v>1127</v>
      </c>
    </row>
    <row r="805">
      <c r="A805" s="5">
        <f>HYPERLINK("https://www.oit.va.gov/Services/TRM/ToolPage.aspx?tid=5630^","Inspire X")</f>
      </c>
      <c r="B805" s="4" t="s">
        <v>1128</v>
      </c>
      <c r="C805" s="9" t="s">
        <v>6</v>
      </c>
      <c r="D805" s="12" t="s">
        <v>1129</v>
      </c>
    </row>
    <row r="806">
      <c r="A806" s="5">
        <f>HYPERLINK("https://www.oit.va.gov/Services/TRM/ToolPage.aspx?tid=36^","InstallShield")</f>
      </c>
      <c r="B806" s="4" t="s">
        <v>1130</v>
      </c>
      <c r="C806" s="9" t="s">
        <v>6</v>
      </c>
      <c r="D806" s="12" t="s">
        <v>1131</v>
      </c>
    </row>
    <row r="807">
      <c r="A807" s="5">
        <f>HYPERLINK("https://www.oit.va.gov/Services/TRM/ToolPage.aspx?tid=7546^","Integrated Research Information System (iRIS)")</f>
      </c>
      <c r="B807" s="4" t="s">
        <v>1132</v>
      </c>
      <c r="C807" s="9" t="s">
        <v>6</v>
      </c>
      <c r="D807" s="12" t="s">
        <v>967</v>
      </c>
    </row>
    <row r="808">
      <c r="A808" s="5">
        <f>HYPERLINK("https://www.oit.va.gov/Services/TRM/ToolPage.aspx?tid=9513^","Integrated Visual and Auditory (IVA)-2 Continuous Performance Test (CPT)")</f>
      </c>
      <c r="B808" s="4" t="s">
        <v>849</v>
      </c>
      <c r="C808" s="9" t="s">
        <v>6</v>
      </c>
      <c r="D808" s="12" t="s">
        <v>1133</v>
      </c>
    </row>
    <row r="809">
      <c r="A809" s="5">
        <f>HYPERLINK("https://www.oit.va.gov/Services/TRM/ToolPage.aspx?tid=14952^","inteleWare")</f>
      </c>
      <c r="B809" s="4" t="s">
        <v>1134</v>
      </c>
      <c r="C809" s="9" t="s">
        <v>6</v>
      </c>
      <c r="D809" s="12" t="s">
        <v>1135</v>
      </c>
    </row>
    <row r="810">
      <c r="A810" s="5">
        <f>HYPERLINK("https://www.oit.va.gov/Services/TRM/ToolPage.aspx?tid=10192^","IntelliBridge Enterprise (IBE)")</f>
      </c>
      <c r="B810" s="4" t="s">
        <v>919</v>
      </c>
      <c r="C810" s="9" t="s">
        <v>6</v>
      </c>
      <c r="D810" s="12" t="s">
        <v>1136</v>
      </c>
    </row>
    <row r="811">
      <c r="A811" s="5">
        <f>HYPERLINK("https://www.oit.va.gov/Services/TRM/ToolPage.aspx?tid=10642^","IntelliJ IDEA")</f>
      </c>
      <c r="B811" s="4" t="s">
        <v>671</v>
      </c>
      <c r="C811" s="9" t="s">
        <v>6</v>
      </c>
      <c r="D811" s="12" t="s">
        <v>672</v>
      </c>
    </row>
    <row r="812">
      <c r="A812" s="5">
        <f>HYPERLINK("https://www.oit.va.gov/Services/TRM/ToolPage.aspx?tid=11637^","IntelliSpace Cardiovascular (ISCV)")</f>
      </c>
      <c r="B812" s="4" t="s">
        <v>919</v>
      </c>
      <c r="C812" s="9" t="s">
        <v>6</v>
      </c>
      <c r="D812" s="12" t="s">
        <v>1137</v>
      </c>
    </row>
    <row r="813">
      <c r="A813" s="5">
        <f>HYPERLINK("https://www.oit.va.gov/Services/TRM/ToolPage.aspx?tid=10542^","IntelliSpace Portal")</f>
      </c>
      <c r="B813" s="4" t="s">
        <v>919</v>
      </c>
      <c r="C813" s="9" t="s">
        <v>6</v>
      </c>
      <c r="D813" s="12" t="s">
        <v>1138</v>
      </c>
    </row>
    <row r="814">
      <c r="A814" s="5">
        <f>HYPERLINK("https://www.oit.va.gov/Services/TRM/ToolPage.aspx?tid=6009^","IntelliSpace Radiology")</f>
      </c>
      <c r="B814" s="4" t="s">
        <v>919</v>
      </c>
      <c r="C814" s="9" t="s">
        <v>6</v>
      </c>
      <c r="D814" s="12" t="s">
        <v>1139</v>
      </c>
    </row>
    <row r="815">
      <c r="A815" s="5">
        <f>HYPERLINK("https://www.oit.va.gov/Services/TRM/ToolPage.aspx?tid=16693^","IntelliSpace Radiology Enterprise")</f>
      </c>
      <c r="B815" s="4" t="s">
        <v>919</v>
      </c>
      <c r="C815" s="9" t="s">
        <v>6</v>
      </c>
      <c r="D815" s="12" t="s">
        <v>1140</v>
      </c>
    </row>
    <row r="816">
      <c r="A816" s="5">
        <f>HYPERLINK("https://www.oit.va.gov/Services/TRM/ToolPage.aspx?tid=13334^","Intensive Care Unit (ICU) Medical MedNet")</f>
      </c>
      <c r="B816" s="4" t="s">
        <v>1141</v>
      </c>
      <c r="C816" s="9" t="s">
        <v>6</v>
      </c>
      <c r="D816" s="12" t="s">
        <v>1142</v>
      </c>
    </row>
    <row r="817">
      <c r="A817" s="5">
        <f>HYPERLINK("https://www.oit.va.gov/Services/TRM/ToolPage.aspx?tid=6372^","International Business Machine (IBM) App Connect Enterprise (ACE)")</f>
      </c>
      <c r="B817" s="4" t="s">
        <v>233</v>
      </c>
      <c r="C817" s="9" t="s">
        <v>6</v>
      </c>
      <c r="D817" s="12" t="s">
        <v>1143</v>
      </c>
    </row>
    <row r="818">
      <c r="A818" s="5">
        <f>HYPERLINK("https://www.oit.va.gov/Services/TRM/ToolPage.aspx?tid=5803^","International Business Machines (IBM) Decision Optimization Center")</f>
      </c>
      <c r="B818" s="4" t="s">
        <v>233</v>
      </c>
      <c r="C818" s="9" t="s">
        <v>6</v>
      </c>
      <c r="D818" s="12" t="s">
        <v>1144</v>
      </c>
    </row>
    <row r="819">
      <c r="A819" s="5">
        <f>HYPERLINK("https://www.oit.va.gov/Services/TRM/ToolPage.aspx?tid=5998^","International Business Machines (IBM) FileNet Capture")</f>
      </c>
      <c r="B819" s="4" t="s">
        <v>233</v>
      </c>
      <c r="C819" s="9" t="s">
        <v>6</v>
      </c>
      <c r="D819" s="12" t="s">
        <v>1145</v>
      </c>
    </row>
    <row r="820">
      <c r="A820" s="5">
        <f>HYPERLINK("https://www.oit.va.gov/Services/TRM/ToolPage.aspx?tid=6852^","International Business Machines (IBM) FileNet Content Manager")</f>
      </c>
      <c r="B820" s="4" t="s">
        <v>233</v>
      </c>
      <c r="C820" s="9" t="s">
        <v>6</v>
      </c>
      <c r="D820" s="12" t="s">
        <v>1146</v>
      </c>
    </row>
    <row r="821">
      <c r="A821" s="5">
        <f>HYPERLINK("https://www.oit.va.gov/Services/TRM/ToolPage.aspx?tid=13085^","International Business Machines (IBM) InfoSphere Information Server")</f>
      </c>
      <c r="B821" s="4" t="s">
        <v>233</v>
      </c>
      <c r="C821" s="9" t="s">
        <v>6</v>
      </c>
      <c r="D821" s="12" t="s">
        <v>1147</v>
      </c>
    </row>
    <row r="822">
      <c r="A822" s="5">
        <f>HYPERLINK("https://www.oit.va.gov/Services/TRM/ToolPage.aspx?tid=6519^","International Business Machines (IBM) Message Queue (MQ)")</f>
      </c>
      <c r="B822" s="4" t="s">
        <v>233</v>
      </c>
      <c r="C822" s="9" t="s">
        <v>6</v>
      </c>
      <c r="D822" s="12" t="s">
        <v>1148</v>
      </c>
    </row>
    <row r="823">
      <c r="A823" s="5">
        <f>HYPERLINK("https://www.oit.va.gov/Services/TRM/ToolPage.aspx?tid=14596^","International Business Machines (IBM) Sterling Business-to-Business (B2B) Integrator")</f>
      </c>
      <c r="B823" s="4" t="s">
        <v>233</v>
      </c>
      <c r="C823" s="9" t="s">
        <v>6</v>
      </c>
      <c r="D823" s="12" t="s">
        <v>1149</v>
      </c>
    </row>
    <row r="824">
      <c r="A824" s="5">
        <f>HYPERLINK("https://www.oit.va.gov/Services/TRM/ToolPage.aspx?tid=6521^","International Business Machines (IBM) Sterling Transformation Extender (STE)")</f>
      </c>
      <c r="B824" s="4" t="s">
        <v>233</v>
      </c>
      <c r="C824" s="9" t="s">
        <v>6</v>
      </c>
      <c r="D824" s="12" t="s">
        <v>1150</v>
      </c>
    </row>
    <row r="825">
      <c r="A825" s="5">
        <f>HYPERLINK("https://www.oit.va.gov/Services/TRM/ToolPage.aspx?tid=14019^","International Business Machines (IBM) UrbanCode Deploy")</f>
      </c>
      <c r="B825" s="4" t="s">
        <v>233</v>
      </c>
      <c r="C825" s="9" t="s">
        <v>6</v>
      </c>
      <c r="D825" s="12" t="s">
        <v>1151</v>
      </c>
    </row>
    <row r="826">
      <c r="A826" s="5">
        <f>HYPERLINK("https://www.oit.va.gov/Services/TRM/ToolPage.aspx?tid=10382^","Intesys Clinical Suite (ICS)")</f>
      </c>
      <c r="B826" s="4" t="s">
        <v>1152</v>
      </c>
      <c r="C826" s="9" t="s">
        <v>6</v>
      </c>
      <c r="D826" s="12" t="s">
        <v>41</v>
      </c>
    </row>
    <row r="827">
      <c r="A827" s="5">
        <f>HYPERLINK("https://www.oit.va.gov/Services/TRM/ToolPage.aspx?tid=14842^","Intrigma")</f>
      </c>
      <c r="B827" s="4" t="s">
        <v>1153</v>
      </c>
      <c r="C827" s="9" t="s">
        <v>6</v>
      </c>
      <c r="D827" s="12" t="s">
        <v>1154</v>
      </c>
    </row>
    <row r="828">
      <c r="A828" s="5">
        <f>HYPERLINK("https://www.oit.va.gov/Services/TRM/ToolPage.aspx?tid=14907^","Intuitive Reliable Interoperative Scalable (IRIS) for Health")</f>
      </c>
      <c r="B828" s="4" t="s">
        <v>1155</v>
      </c>
      <c r="C828" s="9" t="s">
        <v>6</v>
      </c>
      <c r="D828" s="12" t="s">
        <v>1156</v>
      </c>
    </row>
    <row r="829">
      <c r="A829" s="5">
        <f>HYPERLINK("https://www.oit.va.gov/Services/TRM/ToolPage.aspx?tid=8107^","Inventory Control")</f>
      </c>
      <c r="B829" s="4" t="s">
        <v>1157</v>
      </c>
      <c r="C829" s="9" t="s">
        <v>6</v>
      </c>
      <c r="D829" s="12" t="s">
        <v>1158</v>
      </c>
    </row>
    <row r="830">
      <c r="A830" s="5">
        <f>HYPERLINK("https://www.oit.va.gov/Services/TRM/ToolPage.aspx?tid=7457^","InVision InSite")</f>
      </c>
      <c r="B830" s="4" t="s">
        <v>1159</v>
      </c>
      <c r="C830" s="9" t="s">
        <v>6</v>
      </c>
      <c r="D830" s="12" t="s">
        <v>167</v>
      </c>
    </row>
    <row r="831">
      <c r="A831" s="5">
        <f>HYPERLINK("https://www.oit.va.gov/Services/TRM/ToolPage.aspx?tid=8413^","InvoTech Uniform System")</f>
      </c>
      <c r="B831" s="4" t="s">
        <v>1160</v>
      </c>
      <c r="C831" s="9" t="s">
        <v>6</v>
      </c>
      <c r="D831" s="12" t="s">
        <v>1161</v>
      </c>
    </row>
    <row r="832">
      <c r="A832" s="5">
        <f>HYPERLINK("https://www.oit.va.gov/Services/TRM/ToolPage.aspx?tid=11421^","iViews Imaging System")</f>
      </c>
      <c r="B832" s="4" t="s">
        <v>1162</v>
      </c>
      <c r="C832" s="9" t="s">
        <v>6</v>
      </c>
      <c r="D832" s="12" t="s">
        <v>477</v>
      </c>
    </row>
    <row r="833">
      <c r="A833" s="5">
        <f>HYPERLINK("https://www.oit.va.gov/Services/TRM/ToolPage.aspx?tid=5795^","iWay Service Manager")</f>
      </c>
      <c r="B833" s="4" t="s">
        <v>679</v>
      </c>
      <c r="C833" s="9" t="s">
        <v>6</v>
      </c>
      <c r="D833" s="12" t="s">
        <v>1163</v>
      </c>
    </row>
    <row r="834">
      <c r="A834" s="5">
        <f>HYPERLINK("https://www.oit.va.gov/Services/TRM/ToolPage.aspx?tid=16529^","J2 Settings Framework")</f>
      </c>
      <c r="B834" s="4" t="s">
        <v>1164</v>
      </c>
      <c r="C834" s="9" t="s">
        <v>6</v>
      </c>
      <c r="D834" s="12" t="s">
        <v>1040</v>
      </c>
    </row>
    <row r="835">
      <c r="A835" s="5">
        <f>HYPERLINK("https://www.oit.va.gov/Services/TRM/ToolPage.aspx?tid=9934^","JasperReports Server")</f>
      </c>
      <c r="B835" s="4" t="s">
        <v>679</v>
      </c>
      <c r="C835" s="9" t="s">
        <v>6</v>
      </c>
      <c r="D835" s="12" t="s">
        <v>120</v>
      </c>
    </row>
    <row r="836">
      <c r="A836" s="5">
        <f>HYPERLINK("https://www.oit.va.gov/Services/TRM/ToolPage.aspx?tid=7516^","Jaspersoft Studio")</f>
      </c>
      <c r="B836" s="4" t="s">
        <v>1165</v>
      </c>
      <c r="C836" s="9" t="s">
        <v>6</v>
      </c>
      <c r="D836" s="12" t="s">
        <v>1166</v>
      </c>
    </row>
    <row r="837">
      <c r="A837" s="5">
        <f>HYPERLINK("https://www.oit.va.gov/Services/TRM/ToolPage.aspx?tid=5002^","Java Business Process Management (jBPM)")</f>
      </c>
      <c r="B837" s="4" t="s">
        <v>1167</v>
      </c>
      <c r="C837" s="9" t="s">
        <v>6</v>
      </c>
      <c r="D837" s="12" t="s">
        <v>1168</v>
      </c>
    </row>
    <row r="838">
      <c r="A838" s="5">
        <f>HYPERLINK("https://www.oit.va.gov/Services/TRM/ToolPage.aspx?tid=9178^","JBoss Java Transaction Application Programming Interface (JTA)")</f>
      </c>
      <c r="B838" s="4" t="s">
        <v>1169</v>
      </c>
      <c r="C838" s="9" t="s">
        <v>6</v>
      </c>
      <c r="D838" s="12" t="s">
        <v>1170</v>
      </c>
    </row>
    <row r="839">
      <c r="A839" s="5">
        <f>HYPERLINK("https://www.oit.va.gov/Services/TRM/ToolPage.aspx?tid=6543^","JIRA")</f>
      </c>
      <c r="B839" s="4" t="s">
        <v>829</v>
      </c>
      <c r="C839" s="9" t="s">
        <v>6</v>
      </c>
      <c r="D839" s="12" t="s">
        <v>1171</v>
      </c>
    </row>
    <row r="840">
      <c r="A840" s="5">
        <f>HYPERLINK("https://www.oit.va.gov/Services/TRM/ToolPage.aspx?tid=11444^","JIRA Service Management")</f>
      </c>
      <c r="B840" s="4" t="s">
        <v>829</v>
      </c>
      <c r="C840" s="9" t="s">
        <v>6</v>
      </c>
      <c r="D840" s="12" t="s">
        <v>1172</v>
      </c>
    </row>
    <row r="841">
      <c r="A841" s="5">
        <f>HYPERLINK("https://www.oit.va.gov/Services/TRM/ToolPage.aspx?tid=6019^","JMP Software")</f>
      </c>
      <c r="B841" s="4" t="s">
        <v>183</v>
      </c>
      <c r="C841" s="9" t="s">
        <v>6</v>
      </c>
      <c r="D841" s="12" t="s">
        <v>1173</v>
      </c>
    </row>
    <row r="842">
      <c r="A842" s="5">
        <f>HYPERLINK("https://www.oit.va.gov/Services/TRM/ToolPage.aspx?tid=13124^","JTB FlexReport")</f>
      </c>
      <c r="B842" s="4" t="s">
        <v>1174</v>
      </c>
      <c r="C842" s="9" t="s">
        <v>6</v>
      </c>
      <c r="D842" s="12" t="s">
        <v>1175</v>
      </c>
    </row>
    <row r="843">
      <c r="A843" s="5">
        <f>HYPERLINK("https://www.oit.va.gov/Services/TRM/ToolPage.aspx?tid=8594^","KBMMemTable")</f>
      </c>
      <c r="B843" s="4" t="s">
        <v>1176</v>
      </c>
      <c r="C843" s="9" t="s">
        <v>6</v>
      </c>
      <c r="D843" s="12" t="s">
        <v>41</v>
      </c>
    </row>
    <row r="844">
      <c r="A844" s="5">
        <f>HYPERLINK("https://www.oit.va.gov/Services/TRM/ToolPage.aspx?tid=10476^","Kentico Content Management System (CMS)")</f>
      </c>
      <c r="B844" s="4" t="s">
        <v>1177</v>
      </c>
      <c r="C844" s="9" t="s">
        <v>6</v>
      </c>
      <c r="D844" s="12" t="s">
        <v>41</v>
      </c>
    </row>
    <row r="845">
      <c r="A845" s="5">
        <f>HYPERLINK("https://www.oit.va.gov/Services/TRM/ToolPage.aspx?tid=9374^","Knowledge Portal for BD Pyxis Medication Technologies")</f>
      </c>
      <c r="B845" s="4" t="s">
        <v>762</v>
      </c>
      <c r="C845" s="9" t="s">
        <v>6</v>
      </c>
      <c r="D845" s="12" t="s">
        <v>1178</v>
      </c>
    </row>
    <row r="846">
      <c r="A846" s="5">
        <f>HYPERLINK("https://www.oit.va.gov/Services/TRM/ToolPage.aspx?tid=15632^","Koerber (K&amp;#246;rber) Supply Chain K Motion Warehouse Advantage")</f>
      </c>
      <c r="B846" s="4" t="s">
        <v>1179</v>
      </c>
      <c r="C846" s="9" t="s">
        <v>6</v>
      </c>
      <c r="D846" s="12" t="s">
        <v>1180</v>
      </c>
    </row>
    <row r="847">
      <c r="A847" s="5">
        <f>HYPERLINK("https://www.oit.va.gov/Services/TRM/ToolPage.aspx?tid=6763^","Kofax Capture")</f>
      </c>
      <c r="B847" s="4" t="s">
        <v>1181</v>
      </c>
      <c r="C847" s="9" t="s">
        <v>6</v>
      </c>
      <c r="D847" s="12" t="s">
        <v>1145</v>
      </c>
    </row>
    <row r="848">
      <c r="A848" s="5">
        <f>HYPERLINK("https://www.oit.va.gov/Services/TRM/ToolPage.aspx?tid=7055^","Kofax Transformation Modules (KTM)")</f>
      </c>
      <c r="B848" s="4" t="s">
        <v>1181</v>
      </c>
      <c r="C848" s="9" t="s">
        <v>6</v>
      </c>
      <c r="D848" s="12" t="s">
        <v>1182</v>
      </c>
    </row>
    <row r="849">
      <c r="A849" s="5">
        <f>HYPERLINK("https://www.oit.va.gov/Services/TRM/ToolPage.aspx?tid=10194^","K-Soft")</f>
      </c>
      <c r="B849" s="4" t="s">
        <v>1183</v>
      </c>
      <c r="C849" s="9" t="s">
        <v>6</v>
      </c>
      <c r="D849" s="12" t="s">
        <v>1184</v>
      </c>
    </row>
    <row r="850">
      <c r="A850" s="5">
        <f>HYPERLINK("https://www.oit.va.gov/Services/TRM/ToolPage.aspx?tid=7354^","LABLION Laboratory Information System (LIS)")</f>
      </c>
      <c r="B850" s="4" t="s">
        <v>1185</v>
      </c>
      <c r="C850" s="9" t="s">
        <v>6</v>
      </c>
      <c r="D850" s="12" t="s">
        <v>1186</v>
      </c>
    </row>
    <row r="851">
      <c r="A851" s="5">
        <f>HYPERLINK("https://www.oit.va.gov/Services/TRM/ToolPage.aspx?tid=11451^","Labtrac Enterprise")</f>
      </c>
      <c r="B851" s="4" t="s">
        <v>1187</v>
      </c>
      <c r="C851" s="9" t="s">
        <v>6</v>
      </c>
      <c r="D851" s="12" t="s">
        <v>569</v>
      </c>
    </row>
    <row r="852">
      <c r="A852" s="5">
        <f>HYPERLINK("https://www.oit.va.gov/Services/TRM/ToolPage.aspx?tid=14795^","LabVantage Biobanking")</f>
      </c>
      <c r="B852" s="4" t="s">
        <v>1188</v>
      </c>
      <c r="C852" s="9" t="s">
        <v>6</v>
      </c>
      <c r="D852" s="12" t="s">
        <v>1189</v>
      </c>
    </row>
    <row r="853">
      <c r="A853" s="5">
        <f>HYPERLINK("https://www.oit.va.gov/Services/TRM/ToolPage.aspx?tid=7555^","LabVIEW Professional Development System")</f>
      </c>
      <c r="B853" s="4" t="s">
        <v>1190</v>
      </c>
      <c r="C853" s="9" t="s">
        <v>6</v>
      </c>
      <c r="D853" s="12" t="s">
        <v>1191</v>
      </c>
    </row>
    <row r="854">
      <c r="A854" s="5">
        <f>HYPERLINK("https://www.oit.va.gov/Services/TRM/ToolPage.aspx?tid=11101^","Leaf Patient Mobility Monitoring System")</f>
      </c>
      <c r="B854" s="4" t="s">
        <v>1192</v>
      </c>
      <c r="C854" s="9" t="s">
        <v>6</v>
      </c>
      <c r="D854" s="12" t="s">
        <v>1193</v>
      </c>
    </row>
    <row r="855">
      <c r="A855" s="5">
        <f>HYPERLINK("https://www.oit.va.gov/Services/TRM/ToolPage.aspx?tid=7703^","Lectora Inspire")</f>
      </c>
      <c r="B855" s="4" t="s">
        <v>1194</v>
      </c>
      <c r="C855" s="9" t="s">
        <v>6</v>
      </c>
      <c r="D855" s="12" t="s">
        <v>1195</v>
      </c>
    </row>
    <row r="856">
      <c r="A856" s="5">
        <f>HYPERLINK("https://www.oit.va.gov/Services/TRM/ToolPage.aspx?tid=11569^","LifePRO")</f>
      </c>
      <c r="B856" s="4" t="s">
        <v>1196</v>
      </c>
      <c r="C856" s="9" t="s">
        <v>6</v>
      </c>
      <c r="D856" s="12" t="s">
        <v>1197</v>
      </c>
    </row>
    <row r="857">
      <c r="A857" s="5">
        <f>HYPERLINK("https://www.oit.va.gov/Services/TRM/ToolPage.aspx?tid=7626^","Linguistic Inquiry and Word Count (LIWC)")</f>
      </c>
      <c r="B857" s="4" t="s">
        <v>1198</v>
      </c>
      <c r="C857" s="9" t="s">
        <v>6</v>
      </c>
      <c r="D857" s="12" t="s">
        <v>1199</v>
      </c>
    </row>
    <row r="858">
      <c r="A858" s="5">
        <f>HYPERLINK("https://www.oit.va.gov/Services/TRM/ToolPage.aspx?tid=9679^","LinkSolv Record Linkage Software")</f>
      </c>
      <c r="B858" s="4" t="s">
        <v>1200</v>
      </c>
      <c r="C858" s="9" t="s">
        <v>6</v>
      </c>
      <c r="D858" s="12" t="s">
        <v>1201</v>
      </c>
    </row>
    <row r="859">
      <c r="A859" s="5">
        <f>HYPERLINK("https://www.oit.va.gov/Services/TRM/ToolPage.aspx?tid=7036^","LINQPad (Language-Integrated Query)")</f>
      </c>
      <c r="B859" s="4" t="s">
        <v>1202</v>
      </c>
      <c r="C859" s="9" t="s">
        <v>6</v>
      </c>
      <c r="D859" s="12" t="s">
        <v>1203</v>
      </c>
    </row>
    <row r="860">
      <c r="A860" s="5">
        <f>HYPERLINK("https://www.oit.va.gov/Services/TRM/ToolPage.aspx?tid=9903^","Linx")</f>
      </c>
      <c r="B860" s="4" t="s">
        <v>1204</v>
      </c>
      <c r="C860" s="9" t="s">
        <v>6</v>
      </c>
      <c r="D860" s="12" t="s">
        <v>1205</v>
      </c>
    </row>
    <row r="861">
      <c r="A861" s="5">
        <f>HYPERLINK("https://www.oit.va.gov/Services/TRM/ToolPage.aspx?tid=6525^","Liquibase")</f>
      </c>
      <c r="B861" s="4" t="s">
        <v>1206</v>
      </c>
      <c r="C861" s="9" t="s">
        <v>6</v>
      </c>
      <c r="D861" s="12" t="s">
        <v>1207</v>
      </c>
    </row>
    <row r="862">
      <c r="A862" s="5">
        <f>HYPERLINK("https://www.oit.va.gov/Services/TRM/ToolPage.aspx?tid=7193^","Living Systems Process Suite (LSPS)")</f>
      </c>
      <c r="B862" s="4" t="s">
        <v>1208</v>
      </c>
      <c r="C862" s="9" t="s">
        <v>6</v>
      </c>
      <c r="D862" s="12" t="s">
        <v>1209</v>
      </c>
    </row>
    <row r="863">
      <c r="A863" s="5">
        <f>HYPERLINK("https://www.oit.va.gov/Services/TRM/ToolPage.aspx?tid=27^","LoadRunner Professional")</f>
      </c>
      <c r="B863" s="4" t="s">
        <v>651</v>
      </c>
      <c r="C863" s="9" t="s">
        <v>6</v>
      </c>
      <c r="D863" s="12" t="s">
        <v>1210</v>
      </c>
    </row>
    <row r="864">
      <c r="A864" s="5">
        <f>HYPERLINK("https://www.oit.va.gov/Services/TRM/ToolPage.aspx?tid=6031^","LOGICARE")</f>
      </c>
      <c r="B864" s="4" t="s">
        <v>1211</v>
      </c>
      <c r="C864" s="9" t="s">
        <v>6</v>
      </c>
      <c r="D864" s="12" t="s">
        <v>1212</v>
      </c>
    </row>
    <row r="865">
      <c r="A865" s="5">
        <f>HYPERLINK("https://www.oit.va.gov/Services/TRM/ToolPage.aspx?tid=16473^","LPDH Dental PACS Launcher")</f>
      </c>
      <c r="B865" s="4" t="s">
        <v>1213</v>
      </c>
      <c r="C865" s="9" t="s">
        <v>6</v>
      </c>
      <c r="D865" s="12" t="s">
        <v>948</v>
      </c>
    </row>
    <row r="866">
      <c r="A866" s="5">
        <f>HYPERLINK("https://www.oit.va.gov/Services/TRM/ToolPage.aspx?tid=14742^","Ludlum Model 375 Webpage and Service Software")</f>
      </c>
      <c r="B866" s="4" t="s">
        <v>1214</v>
      </c>
      <c r="C866" s="9" t="s">
        <v>6</v>
      </c>
      <c r="D866" s="12" t="s">
        <v>1199</v>
      </c>
    </row>
    <row r="867">
      <c r="A867" s="5">
        <f>HYPERLINK("https://www.oit.va.gov/Services/TRM/ToolPage.aspx?tid=15041^","Machine Learning (ML) flow")</f>
      </c>
      <c r="B867" s="4" t="s">
        <v>597</v>
      </c>
      <c r="C867" s="9" t="s">
        <v>6</v>
      </c>
      <c r="D867" s="12" t="s">
        <v>1215</v>
      </c>
    </row>
    <row r="868">
      <c r="A868" s="5">
        <f>HYPERLINK("https://www.oit.va.gov/Services/TRM/ToolPage.aspx?tid=8977^","MAESTRO System Software")</f>
      </c>
      <c r="B868" s="4" t="s">
        <v>748</v>
      </c>
      <c r="C868" s="9" t="s">
        <v>6</v>
      </c>
      <c r="D868" s="12" t="s">
        <v>1216</v>
      </c>
    </row>
    <row r="869">
      <c r="A869" s="5">
        <f>HYPERLINK("https://www.oit.va.gov/Services/TRM/ToolPage.aspx?tid=10118^","MagView Mammography Information System")</f>
      </c>
      <c r="B869" s="4" t="s">
        <v>1217</v>
      </c>
      <c r="C869" s="9" t="s">
        <v>6</v>
      </c>
      <c r="D869" s="12" t="s">
        <v>783</v>
      </c>
    </row>
    <row r="870">
      <c r="A870" s="5">
        <f>HYPERLINK("https://www.oit.va.gov/Services/TRM/ToolPage.aspx?tid=7783^","Mammography Reporting System 7 (MRS7) Reporting")</f>
      </c>
      <c r="B870" s="4" t="s">
        <v>1218</v>
      </c>
      <c r="C870" s="9" t="s">
        <v>6</v>
      </c>
      <c r="D870" s="12" t="s">
        <v>1219</v>
      </c>
    </row>
    <row r="871">
      <c r="A871" s="5">
        <f>HYPERLINK("https://www.oit.va.gov/Services/TRM/ToolPage.aspx?tid=6978^","MapForce Graphical Data Mapping, Conversion, and Integration Tool")</f>
      </c>
      <c r="B871" s="4" t="s">
        <v>973</v>
      </c>
      <c r="C871" s="9" t="s">
        <v>6</v>
      </c>
      <c r="D871" s="12" t="s">
        <v>1220</v>
      </c>
    </row>
    <row r="872">
      <c r="A872" s="5">
        <f>HYPERLINK("https://www.oit.va.gov/Services/TRM/ToolPage.aspx?tid=14071^","MassHunter")</f>
      </c>
      <c r="B872" s="4" t="s">
        <v>370</v>
      </c>
      <c r="C872" s="9" t="s">
        <v>6</v>
      </c>
      <c r="D872" s="12" t="s">
        <v>682</v>
      </c>
    </row>
    <row r="873">
      <c r="A873" s="5">
        <f>HYPERLINK("https://www.oit.va.gov/Services/TRM/ToolPage.aspx?tid=11600^","Match IT! Antibody")</f>
      </c>
      <c r="B873" s="4" t="s">
        <v>1221</v>
      </c>
      <c r="C873" s="9" t="s">
        <v>6</v>
      </c>
      <c r="D873" s="12" t="s">
        <v>1222</v>
      </c>
    </row>
    <row r="874">
      <c r="A874" s="5">
        <f>HYPERLINK("https://www.oit.va.gov/Services/TRM/ToolPage.aspx?tid=7287^","Matheson Functional Capacity Evaluation (FCE)")</f>
      </c>
      <c r="B874" s="4" t="s">
        <v>1223</v>
      </c>
      <c r="C874" s="9" t="s">
        <v>6</v>
      </c>
      <c r="D874" s="12" t="s">
        <v>1224</v>
      </c>
    </row>
    <row r="875">
      <c r="A875" s="5">
        <f>HYPERLINK("https://www.oit.va.gov/Services/TRM/ToolPage.aspx?tid=6041^","MATLAB")</f>
      </c>
      <c r="B875" s="4" t="s">
        <v>1105</v>
      </c>
      <c r="C875" s="9" t="s">
        <v>6</v>
      </c>
      <c r="D875" s="12" t="s">
        <v>1225</v>
      </c>
    </row>
    <row r="876">
      <c r="A876" s="5">
        <f>HYPERLINK("https://www.oit.va.gov/Services/TRM/ToolPage.aspx?tid=7504^","MAXQDA (Qualitative Data Analysis)")</f>
      </c>
      <c r="B876" s="4" t="s">
        <v>1226</v>
      </c>
      <c r="C876" s="9" t="s">
        <v>6</v>
      </c>
      <c r="D876" s="12" t="s">
        <v>656</v>
      </c>
    </row>
    <row r="877">
      <c r="A877" s="5">
        <f>HYPERLINK("https://www.oit.va.gov/Services/TRM/ToolPage.aspx?tid=15319^","MaxTemp")</f>
      </c>
      <c r="B877" s="4" t="s">
        <v>1227</v>
      </c>
      <c r="C877" s="9" t="s">
        <v>6</v>
      </c>
      <c r="D877" s="12" t="s">
        <v>1228</v>
      </c>
    </row>
    <row r="878">
      <c r="A878" s="5">
        <f>HYPERLINK("https://www.oit.va.gov/Services/TRM/ToolPage.aspx?tid=8659^","Med Manager")</f>
      </c>
      <c r="B878" s="4" t="s">
        <v>1229</v>
      </c>
      <c r="C878" s="9" t="s">
        <v>6</v>
      </c>
      <c r="D878" s="12" t="s">
        <v>1230</v>
      </c>
    </row>
    <row r="879">
      <c r="A879" s="5">
        <f>HYPERLINK("https://www.oit.va.gov/Services/TRM/ToolPage.aspx?tid=6357^","Medflow Electronic Health Record (EHR)")</f>
      </c>
      <c r="B879" s="4" t="s">
        <v>1231</v>
      </c>
      <c r="C879" s="9" t="s">
        <v>6</v>
      </c>
      <c r="D879" s="12" t="s">
        <v>1232</v>
      </c>
    </row>
    <row r="880">
      <c r="A880" s="5">
        <f>HYPERLINK("https://www.oit.va.gov/Services/TRM/ToolPage.aspx?tid=7308^","MediaLab")</f>
      </c>
      <c r="B880" s="4" t="s">
        <v>1233</v>
      </c>
      <c r="C880" s="9" t="s">
        <v>6</v>
      </c>
      <c r="D880" s="12" t="s">
        <v>1234</v>
      </c>
    </row>
    <row r="881">
      <c r="A881" s="5">
        <f>HYPERLINK("https://www.oit.va.gov/Services/TRM/ToolPage.aspx?tid=9014^","Medicalis Workflow Orchestrator")</f>
      </c>
      <c r="B881" s="4" t="s">
        <v>1235</v>
      </c>
      <c r="C881" s="9" t="s">
        <v>6</v>
      </c>
      <c r="D881" s="12" t="s">
        <v>1209</v>
      </c>
    </row>
    <row r="882">
      <c r="A882" s="5">
        <f>HYPERLINK("https://www.oit.va.gov/Services/TRM/ToolPage.aspx?tid=14434^","MediCopia Specimen Collection")</f>
      </c>
      <c r="B882" s="4" t="s">
        <v>1236</v>
      </c>
      <c r="C882" s="9" t="s">
        <v>6</v>
      </c>
      <c r="D882" s="12" t="s">
        <v>1237</v>
      </c>
    </row>
    <row r="883">
      <c r="A883" s="5">
        <f>HYPERLINK("https://www.oit.va.gov/Services/TRM/ToolPage.aspx?tid=9060^","Medicor Imaging Picture Archiving and Communication System (MiPACS) Dental Enterprise Viewer")</f>
      </c>
      <c r="B883" s="4" t="s">
        <v>1238</v>
      </c>
      <c r="C883" s="9" t="s">
        <v>6</v>
      </c>
      <c r="D883" s="12" t="s">
        <v>114</v>
      </c>
    </row>
    <row r="884">
      <c r="A884" s="5">
        <f>HYPERLINK("https://www.oit.va.gov/Services/TRM/ToolPage.aspx?tid=15417^","Medicor Imaging Picture Archiving and Communication System (MiPACS) Utility Suite")</f>
      </c>
      <c r="B884" s="4" t="s">
        <v>1238</v>
      </c>
      <c r="C884" s="9" t="s">
        <v>6</v>
      </c>
      <c r="D884" s="12" t="s">
        <v>1239</v>
      </c>
    </row>
    <row r="885">
      <c r="A885" s="5">
        <f>HYPERLINK("https://www.oit.va.gov/Services/TRM/ToolPage.aspx?tid=15660^","Medi-Span Installer")</f>
      </c>
      <c r="B885" s="4" t="s">
        <v>1240</v>
      </c>
      <c r="C885" s="9" t="s">
        <v>6</v>
      </c>
      <c r="D885" s="12" t="s">
        <v>992</v>
      </c>
    </row>
    <row r="886">
      <c r="A886" s="5">
        <f>HYPERLINK("https://www.oit.va.gov/Services/TRM/ToolPage.aspx?tid=9483^","MedRec Inpatient")</f>
      </c>
      <c r="B886" s="4" t="s">
        <v>814</v>
      </c>
      <c r="C886" s="9" t="s">
        <v>6</v>
      </c>
      <c r="D886" s="12" t="s">
        <v>37</v>
      </c>
    </row>
    <row r="887">
      <c r="A887" s="5">
        <f>HYPERLINK("https://www.oit.va.gov/Services/TRM/ToolPage.aspx?tid=15952^","MedRec Outpatient")</f>
      </c>
      <c r="B887" s="4" t="s">
        <v>814</v>
      </c>
      <c r="C887" s="9" t="s">
        <v>6</v>
      </c>
      <c r="D887" s="12" t="s">
        <v>1241</v>
      </c>
    </row>
    <row r="888">
      <c r="A888" s="5">
        <f>HYPERLINK("https://www.oit.va.gov/Services/TRM/ToolPage.aspx?tid=15814^","MedRx Studio")</f>
      </c>
      <c r="B888" s="4" t="s">
        <v>1242</v>
      </c>
      <c r="C888" s="9" t="s">
        <v>6</v>
      </c>
      <c r="D888" s="12" t="s">
        <v>1243</v>
      </c>
    </row>
    <row r="889">
      <c r="A889" s="5">
        <f>HYPERLINK("https://www.oit.va.gov/Services/TRM/ToolPage.aspx?tid=7846^","MedTronic TeleResponse")</f>
      </c>
      <c r="B889" s="4" t="s">
        <v>1089</v>
      </c>
      <c r="C889" s="9" t="s">
        <v>6</v>
      </c>
      <c r="D889" s="12" t="s">
        <v>1244</v>
      </c>
    </row>
    <row r="890">
      <c r="A890" s="5">
        <f>HYPERLINK("https://www.oit.va.gov/Services/TRM/ToolPage.aspx?tid=5960^","Merge Cardio")</f>
      </c>
      <c r="B890" s="4" t="s">
        <v>1245</v>
      </c>
      <c r="C890" s="9" t="s">
        <v>6</v>
      </c>
      <c r="D890" s="12" t="s">
        <v>1246</v>
      </c>
    </row>
    <row r="891">
      <c r="A891" s="5">
        <f>HYPERLINK("https://www.oit.va.gov/Services/TRM/ToolPage.aspx?tid=10247^","MetaVision Anesthesia Information Management System (AIMS)")</f>
      </c>
      <c r="B891" s="4" t="s">
        <v>1247</v>
      </c>
      <c r="C891" s="9" t="s">
        <v>6</v>
      </c>
      <c r="D891" s="12" t="s">
        <v>1248</v>
      </c>
    </row>
    <row r="892">
      <c r="A892" s="5">
        <f>HYPERLINK("https://www.oit.va.gov/Services/TRM/ToolPage.aspx?tid=13239^","Methasoft Treatment Management System")</f>
      </c>
      <c r="B892" s="4" t="s">
        <v>1249</v>
      </c>
      <c r="C892" s="9" t="s">
        <v>6</v>
      </c>
      <c r="D892" s="12" t="s">
        <v>1250</v>
      </c>
    </row>
    <row r="893">
      <c r="A893" s="5">
        <f>HYPERLINK("https://www.oit.va.gov/Services/TRM/ToolPage.aspx?tid=15268^","Minnesota Multiphasic Personality Inventory-2-Restructured Form Q-Local Scoring Software")</f>
      </c>
      <c r="B893" s="4" t="s">
        <v>666</v>
      </c>
      <c r="C893" s="9" t="s">
        <v>6</v>
      </c>
      <c r="D893" s="12" t="s">
        <v>1251</v>
      </c>
    </row>
    <row r="894">
      <c r="A894" s="5">
        <f>HYPERLINK("https://www.oit.va.gov/Services/TRM/ToolPage.aspx?tid=14554^","Mmodal Fluency Direct")</f>
      </c>
      <c r="B894" s="4" t="s">
        <v>882</v>
      </c>
      <c r="C894" s="9" t="s">
        <v>6</v>
      </c>
      <c r="D894" s="12" t="s">
        <v>1252</v>
      </c>
    </row>
    <row r="895">
      <c r="A895" s="5">
        <f>HYPERLINK("https://www.oit.va.gov/Services/TRM/ToolPage.aspx?tid=11725^","Mobile Heartbeat Cure (MH-CURE)")</f>
      </c>
      <c r="B895" s="4" t="s">
        <v>1253</v>
      </c>
      <c r="C895" s="9" t="s">
        <v>6</v>
      </c>
      <c r="D895" s="12" t="s">
        <v>1254</v>
      </c>
    </row>
    <row r="896">
      <c r="A896" s="5">
        <f>HYPERLINK("https://www.oit.va.gov/Services/TRM/ToolPage.aspx?tid=9442^","Mobile Manager 100")</f>
      </c>
      <c r="B896" s="4" t="s">
        <v>853</v>
      </c>
      <c r="C896" s="9" t="s">
        <v>6</v>
      </c>
      <c r="D896" s="12" t="s">
        <v>1255</v>
      </c>
    </row>
    <row r="897">
      <c r="A897" s="5">
        <f>HYPERLINK("https://www.oit.va.gov/Services/TRM/ToolPage.aspx?tid=8794^","MobileView Platform")</f>
      </c>
      <c r="B897" s="4" t="s">
        <v>1256</v>
      </c>
      <c r="C897" s="9" t="s">
        <v>6</v>
      </c>
      <c r="D897" s="12" t="s">
        <v>1257</v>
      </c>
    </row>
    <row r="898">
      <c r="A898" s="5">
        <f>HYPERLINK("https://www.oit.va.gov/Services/TRM/ToolPage.aspx?tid=16822^","ModLink")</f>
      </c>
      <c r="B898" s="4" t="s">
        <v>342</v>
      </c>
      <c r="C898" s="9" t="s">
        <v>6</v>
      </c>
      <c r="D898" s="12" t="s">
        <v>1258</v>
      </c>
    </row>
    <row r="899">
      <c r="A899" s="5">
        <f>HYPERLINK("https://www.oit.va.gov/Services/TRM/ToolPage.aspx?tid=14941^","Molecular Registry of Tumors (MRT)")</f>
      </c>
      <c r="B899" s="4" t="s">
        <v>1259</v>
      </c>
      <c r="C899" s="9" t="s">
        <v>6</v>
      </c>
      <c r="D899" s="12" t="s">
        <v>1260</v>
      </c>
    </row>
    <row r="900">
      <c r="A900" s="5">
        <f>HYPERLINK("https://www.oit.va.gov/Services/TRM/ToolPage.aspx?tid=6982^","MOVEit Automation")</f>
      </c>
      <c r="B900" s="4" t="s">
        <v>444</v>
      </c>
      <c r="C900" s="9" t="s">
        <v>6</v>
      </c>
      <c r="D900" s="12" t="s">
        <v>1261</v>
      </c>
    </row>
    <row r="901">
      <c r="A901" s="5">
        <f>HYPERLINK("https://www.oit.va.gov/Services/TRM/ToolPage.aspx?tid=7027^","MOVEit Transfer")</f>
      </c>
      <c r="B901" s="4" t="s">
        <v>444</v>
      </c>
      <c r="C901" s="9" t="s">
        <v>6</v>
      </c>
      <c r="D901" s="12" t="s">
        <v>1262</v>
      </c>
    </row>
    <row r="902">
      <c r="A902" s="5">
        <f>HYPERLINK("https://www.oit.va.gov/Services/TRM/ToolPage.aspx?tid=8266^","MUSE Cardiology Information System")</f>
      </c>
      <c r="B902" s="4" t="s">
        <v>874</v>
      </c>
      <c r="C902" s="9" t="s">
        <v>6</v>
      </c>
      <c r="D902" s="12" t="s">
        <v>1263</v>
      </c>
    </row>
    <row r="903">
      <c r="A903" s="5">
        <f>HYPERLINK("https://www.oit.va.gov/Services/TRM/ToolPage.aspx?tid=10550^","myQA")</f>
      </c>
      <c r="B903" s="4" t="s">
        <v>1264</v>
      </c>
      <c r="C903" s="9" t="s">
        <v>6</v>
      </c>
      <c r="D903" s="12" t="s">
        <v>1265</v>
      </c>
    </row>
    <row r="904">
      <c r="A904" s="5">
        <f>HYPERLINK("https://www.oit.va.gov/Services/TRM/ToolPage.aspx?tid=6390^","MySQL Workbench")</f>
      </c>
      <c r="B904" s="4" t="s">
        <v>136</v>
      </c>
      <c r="C904" s="9" t="s">
        <v>6</v>
      </c>
      <c r="D904" s="12" t="s">
        <v>1266</v>
      </c>
    </row>
    <row r="905">
      <c r="A905" s="5">
        <f>HYPERLINK("https://www.oit.va.gov/Services/TRM/ToolPage.aspx?tid=8540^","MZ-Tools")</f>
      </c>
      <c r="B905" s="4" t="s">
        <v>1267</v>
      </c>
      <c r="C905" s="9" t="s">
        <v>6</v>
      </c>
      <c r="D905" s="12" t="s">
        <v>1268</v>
      </c>
    </row>
    <row r="906">
      <c r="A906" s="5">
        <f>HYPERLINK("https://www.oit.va.gov/Services/TRM/ToolPage.aspx?tid=16226^","Natus Elite")</f>
      </c>
      <c r="B906" s="4" t="s">
        <v>495</v>
      </c>
      <c r="C906" s="9" t="s">
        <v>6</v>
      </c>
      <c r="D906" s="12" t="s">
        <v>1269</v>
      </c>
    </row>
    <row r="907">
      <c r="A907" s="5">
        <f>HYPERLINK("https://www.oit.va.gov/Services/TRM/ToolPage.aspx?tid=10551^","Navicat for Structured Query Language (SQL) Server")</f>
      </c>
      <c r="B907" s="4" t="s">
        <v>1270</v>
      </c>
      <c r="C907" s="9" t="s">
        <v>6</v>
      </c>
      <c r="D907" s="12" t="s">
        <v>1271</v>
      </c>
    </row>
    <row r="908">
      <c r="A908" s="5">
        <f>HYPERLINK("https://www.oit.va.gov/Services/TRM/ToolPage.aspx?tid=13314^","Net Health Employee Health and Occupational Medicine")</f>
      </c>
      <c r="B908" s="4" t="s">
        <v>1272</v>
      </c>
      <c r="C908" s="9" t="s">
        <v>6</v>
      </c>
      <c r="D908" s="12" t="s">
        <v>1273</v>
      </c>
    </row>
    <row r="909">
      <c r="A909" s="5">
        <f>HYPERLINK("https://www.oit.va.gov/Services/TRM/ToolPage.aspx?tid=8778^","NetResponse Web")</f>
      </c>
      <c r="B909" s="4" t="s">
        <v>1089</v>
      </c>
      <c r="C909" s="9" t="s">
        <v>6</v>
      </c>
      <c r="D909" s="12" t="s">
        <v>1274</v>
      </c>
    </row>
    <row r="910">
      <c r="A910" s="5">
        <f>HYPERLINK("https://www.oit.va.gov/Services/TRM/ToolPage.aspx?tid=9307^","Netsmart VRS (Vital Records System)")</f>
      </c>
      <c r="B910" s="4" t="s">
        <v>1275</v>
      </c>
      <c r="C910" s="9" t="s">
        <v>6</v>
      </c>
      <c r="D910" s="12" t="s">
        <v>1276</v>
      </c>
    </row>
    <row r="911">
      <c r="A911" s="5">
        <f>HYPERLINK("https://www.oit.va.gov/Services/TRM/ToolPage.aspx?tid=8170^","NeuroWorkbench (NWB)")</f>
      </c>
      <c r="B911" s="4" t="s">
        <v>411</v>
      </c>
      <c r="C911" s="9" t="s">
        <v>6</v>
      </c>
      <c r="D911" s="12" t="s">
        <v>1277</v>
      </c>
    </row>
    <row r="912">
      <c r="A912" s="5">
        <f>HYPERLINK("https://www.oit.va.gov/Services/TRM/ToolPage.aspx?tid=9624^","NeuroWorks")</f>
      </c>
      <c r="B912" s="4" t="s">
        <v>495</v>
      </c>
      <c r="C912" s="9" t="s">
        <v>6</v>
      </c>
      <c r="D912" s="12" t="s">
        <v>37</v>
      </c>
    </row>
    <row r="913">
      <c r="A913" s="5">
        <f>HYPERLINK("https://www.oit.va.gov/Services/TRM/ToolPage.aspx?tid=14231^","NEXiA")</f>
      </c>
      <c r="B913" s="4" t="s">
        <v>1278</v>
      </c>
      <c r="C913" s="9" t="s">
        <v>6</v>
      </c>
      <c r="D913" s="12" t="s">
        <v>1279</v>
      </c>
    </row>
    <row r="914">
      <c r="A914" s="5">
        <f>HYPERLINK("https://www.oit.va.gov/Services/TRM/ToolPage.aspx?tid=10345^","Nexidia Workbench Software Development Kit (SDK)")</f>
      </c>
      <c r="B914" s="4" t="s">
        <v>1280</v>
      </c>
      <c r="C914" s="9" t="s">
        <v>6</v>
      </c>
      <c r="D914" s="12" t="s">
        <v>1281</v>
      </c>
    </row>
    <row r="915">
      <c r="A915" s="5">
        <f>HYPERLINK("https://www.oit.va.gov/Services/TRM/ToolPage.aspx?tid=8542^","Nikon Instruments Software (NIS)-Elements Advanced Research (AR)")</f>
      </c>
      <c r="B915" s="4" t="s">
        <v>394</v>
      </c>
      <c r="C915" s="9" t="s">
        <v>6</v>
      </c>
      <c r="D915" s="12" t="s">
        <v>1282</v>
      </c>
    </row>
    <row r="916">
      <c r="A916" s="5">
        <f>HYPERLINK("https://www.oit.va.gov/Services/TRM/ToolPage.aspx?tid=15922^","NIOX Database")</f>
      </c>
      <c r="B916" s="4" t="s">
        <v>1283</v>
      </c>
      <c r="C916" s="9" t="s">
        <v>6</v>
      </c>
      <c r="D916" s="12" t="s">
        <v>1284</v>
      </c>
    </row>
    <row r="917">
      <c r="A917" s="5">
        <f>HYPERLINK("https://www.oit.va.gov/Services/TRM/ToolPage.aspx?tid=15928^","NIOX Patient")</f>
      </c>
      <c r="B917" s="4" t="s">
        <v>1283</v>
      </c>
      <c r="C917" s="9" t="s">
        <v>6</v>
      </c>
      <c r="D917" s="12" t="s">
        <v>1284</v>
      </c>
    </row>
    <row r="918">
      <c r="A918" s="5">
        <f>HYPERLINK("https://www.oit.va.gov/Services/TRM/ToolPage.aspx?tid=15929^","NIOX Quality Control (QC)")</f>
      </c>
      <c r="B918" s="4" t="s">
        <v>1283</v>
      </c>
      <c r="C918" s="9" t="s">
        <v>6</v>
      </c>
      <c r="D918" s="12" t="s">
        <v>1285</v>
      </c>
    </row>
    <row r="919">
      <c r="A919" s="5">
        <f>HYPERLINK("https://www.oit.va.gov/Services/TRM/ToolPage.aspx?tid=5678^","NOAH")</f>
      </c>
      <c r="B919" s="4" t="s">
        <v>1286</v>
      </c>
      <c r="C919" s="9" t="s">
        <v>6</v>
      </c>
      <c r="D919" s="12" t="s">
        <v>1287</v>
      </c>
    </row>
    <row r="920">
      <c r="A920" s="5">
        <f>HYPERLINK("https://www.oit.va.gov/Services/TRM/ToolPage.aspx?tid=16478^","Nox Database (DB)")</f>
      </c>
      <c r="B920" s="4" t="s">
        <v>1288</v>
      </c>
      <c r="C920" s="9" t="s">
        <v>6</v>
      </c>
      <c r="D920" s="12" t="s">
        <v>1289</v>
      </c>
    </row>
    <row r="921">
      <c r="A921" s="5">
        <f>HYPERLINK("https://www.oit.va.gov/Services/TRM/ToolPage.aspx?tid=6984^","NServiceBus")</f>
      </c>
      <c r="B921" s="4" t="s">
        <v>1290</v>
      </c>
      <c r="C921" s="9" t="s">
        <v>6</v>
      </c>
      <c r="D921" s="12" t="s">
        <v>1291</v>
      </c>
    </row>
    <row r="922">
      <c r="A922" s="5">
        <f>HYPERLINK("https://www.oit.va.gov/Services/TRM/ToolPage.aspx?tid=14110^","Nuance Management Center (NMC) Console")</f>
      </c>
      <c r="B922" s="4" t="s">
        <v>342</v>
      </c>
      <c r="C922" s="9" t="s">
        <v>6</v>
      </c>
      <c r="D922" s="12" t="s">
        <v>1292</v>
      </c>
    </row>
    <row r="923">
      <c r="A923" s="5">
        <f>HYPERLINK("https://www.oit.va.gov/Services/TRM/ToolPage.aspx?tid=9535^","NVDA (NonVisual Desktop Access)")</f>
      </c>
      <c r="B923" s="4" t="s">
        <v>1293</v>
      </c>
      <c r="C923" s="9" t="s">
        <v>6</v>
      </c>
      <c r="D923" s="12" t="s">
        <v>1294</v>
      </c>
    </row>
    <row r="924">
      <c r="A924" s="5">
        <f>HYPERLINK("https://www.oit.va.gov/Services/TRM/ToolPage.aspx?tid=8399^","Observational Health Data Sciences and Informatics (OHDSI) WebAPI")</f>
      </c>
      <c r="B924" s="4" t="s">
        <v>810</v>
      </c>
      <c r="C924" s="9" t="s">
        <v>6</v>
      </c>
      <c r="D924" s="12" t="s">
        <v>1295</v>
      </c>
    </row>
    <row r="925">
      <c r="A925" s="5">
        <f>HYPERLINK("https://www.oit.va.gov/Services/TRM/ToolPage.aspx?tid=8171^","Office of the National Coordinator for Health Information Technology (ONC) Direct Reference Implementation")</f>
      </c>
      <c r="B925" s="4" t="s">
        <v>1296</v>
      </c>
      <c r="C925" s="9" t="s">
        <v>6</v>
      </c>
      <c r="D925" s="12" t="s">
        <v>1297</v>
      </c>
    </row>
    <row r="926">
      <c r="A926" s="5">
        <f>HYPERLINK("https://www.oit.va.gov/Services/TRM/ToolPage.aspx?tid=7426^","Olympus cellSens")</f>
      </c>
      <c r="B926" s="4" t="s">
        <v>1298</v>
      </c>
      <c r="C926" s="9" t="s">
        <v>6</v>
      </c>
      <c r="D926" s="12" t="s">
        <v>1295</v>
      </c>
    </row>
    <row r="927">
      <c r="A927" s="5">
        <f>HYPERLINK("https://www.oit.va.gov/Services/TRM/ToolPage.aspx?tid=15103^","Omnia")</f>
      </c>
      <c r="B927" s="4" t="s">
        <v>1299</v>
      </c>
      <c r="C927" s="9" t="s">
        <v>6</v>
      </c>
      <c r="D927" s="12" t="s">
        <v>1300</v>
      </c>
    </row>
    <row r="928">
      <c r="A928" s="5">
        <f>HYPERLINK("https://www.oit.va.gov/Services/TRM/ToolPage.aspx?tid=11702^","Omnicell Performance Center")</f>
      </c>
      <c r="B928" s="4" t="s">
        <v>786</v>
      </c>
      <c r="C928" s="9" t="s">
        <v>6</v>
      </c>
      <c r="D928" s="12" t="s">
        <v>1301</v>
      </c>
    </row>
    <row r="929">
      <c r="A929" s="5">
        <f>HYPERLINK("https://www.oit.va.gov/Services/TRM/ToolPage.aspx?tid=11177^","OmniCenter Server")</f>
      </c>
      <c r="B929" s="4" t="s">
        <v>786</v>
      </c>
      <c r="C929" s="9" t="s">
        <v>6</v>
      </c>
      <c r="D929" s="12" t="s">
        <v>408</v>
      </c>
    </row>
    <row r="930">
      <c r="A930" s="5">
        <f>HYPERLINK("https://www.oit.va.gov/Services/TRM/ToolPage.aspx?tid=14826^","ONCONav")</f>
      </c>
      <c r="B930" s="4" t="s">
        <v>1302</v>
      </c>
      <c r="C930" s="9" t="s">
        <v>6</v>
      </c>
      <c r="D930" s="12" t="s">
        <v>496</v>
      </c>
    </row>
    <row r="931">
      <c r="A931" s="5">
        <f>HYPERLINK("https://www.oit.va.gov/Services/TRM/ToolPage.aspx?tid=8929^","Oncotopix")</f>
      </c>
      <c r="B931" s="4" t="s">
        <v>1303</v>
      </c>
      <c r="C931" s="9" t="s">
        <v>6</v>
      </c>
      <c r="D931" s="12" t="s">
        <v>984</v>
      </c>
    </row>
    <row r="932">
      <c r="A932" s="5">
        <f>HYPERLINK("https://www.oit.va.gov/Services/TRM/ToolPage.aspx?tid=8731^","OnePager")</f>
      </c>
      <c r="B932" s="4" t="s">
        <v>1304</v>
      </c>
      <c r="C932" s="9" t="s">
        <v>6</v>
      </c>
      <c r="D932" s="12" t="s">
        <v>1305</v>
      </c>
    </row>
    <row r="933">
      <c r="A933" s="5">
        <f>HYPERLINK("https://www.oit.va.gov/Services/TRM/ToolPage.aspx?tid=15705^","OneQA")</f>
      </c>
      <c r="B933" s="4" t="s">
        <v>425</v>
      </c>
      <c r="C933" s="9" t="s">
        <v>6</v>
      </c>
      <c r="D933" s="12" t="s">
        <v>1237</v>
      </c>
    </row>
    <row r="934">
      <c r="A934" s="5">
        <f>HYPERLINK("https://www.oit.va.gov/Services/TRM/ToolPage.aspx?tid=7068^","OneView Cardiac Rhythm Management (CRM)")</f>
      </c>
      <c r="B934" s="4" t="s">
        <v>1306</v>
      </c>
      <c r="C934" s="9" t="s">
        <v>6</v>
      </c>
      <c r="D934" s="12" t="s">
        <v>1307</v>
      </c>
    </row>
    <row r="935">
      <c r="A935" s="5">
        <f>HYPERLINK("https://www.oit.va.gov/Services/TRM/ToolPage.aspx?tid=9457^","Onis")</f>
      </c>
      <c r="B935" s="4" t="s">
        <v>1308</v>
      </c>
      <c r="C935" s="9" t="s">
        <v>6</v>
      </c>
      <c r="D935" s="12" t="s">
        <v>1309</v>
      </c>
    </row>
    <row r="936">
      <c r="A936" s="5">
        <f>HYPERLINK("https://www.oit.va.gov/Services/TRM/ToolPage.aspx?tid=10197^","Open Rapid Object Application Development (OpenROAD)")</f>
      </c>
      <c r="B936" s="4" t="s">
        <v>1310</v>
      </c>
      <c r="C936" s="9" t="s">
        <v>6</v>
      </c>
      <c r="D936" s="12" t="s">
        <v>1311</v>
      </c>
    </row>
    <row r="937">
      <c r="A937" s="5">
        <f>HYPERLINK("https://www.oit.va.gov/Services/TRM/ToolPage.aspx?tid=6856^","OpenOffice")</f>
      </c>
      <c r="B937" s="4" t="s">
        <v>1312</v>
      </c>
      <c r="C937" s="9" t="s">
        <v>6</v>
      </c>
      <c r="D937" s="12" t="s">
        <v>1313</v>
      </c>
    </row>
    <row r="938">
      <c r="A938" s="5">
        <f>HYPERLINK("https://www.oit.va.gov/Services/TRM/ToolPage.aspx?tid=5136^","OpenText Dimensions Change Management (CM)")</f>
      </c>
      <c r="B938" s="4" t="s">
        <v>1314</v>
      </c>
      <c r="C938" s="9" t="s">
        <v>6</v>
      </c>
      <c r="D938" s="12" t="s">
        <v>1027</v>
      </c>
    </row>
    <row r="939">
      <c r="A939" s="5">
        <f>HYPERLINK("https://www.oit.va.gov/Services/TRM/ToolPage.aspx?tid=26^","OpenText Unified Functional Testing (UFT) One")</f>
      </c>
      <c r="B939" s="4" t="s">
        <v>651</v>
      </c>
      <c r="C939" s="9" t="s">
        <v>6</v>
      </c>
      <c r="D939" s="12" t="s">
        <v>1315</v>
      </c>
    </row>
    <row r="940">
      <c r="A940" s="5">
        <f>HYPERLINK("https://www.oit.va.gov/Services/TRM/ToolPage.aspx?tid=15144^","Optivision Laboratory Management System (LMS)")</f>
      </c>
      <c r="B940" s="4" t="s">
        <v>1316</v>
      </c>
      <c r="C940" s="9" t="s">
        <v>6</v>
      </c>
      <c r="D940" s="12" t="s">
        <v>1317</v>
      </c>
    </row>
    <row r="941">
      <c r="A941" s="5">
        <f>HYPERLINK("https://www.oit.va.gov/Services/TRM/ToolPage.aspx?tid=6330^","Oracle Analytics Publisher")</f>
      </c>
      <c r="B941" s="4" t="s">
        <v>136</v>
      </c>
      <c r="C941" s="9" t="s">
        <v>6</v>
      </c>
      <c r="D941" s="12" t="s">
        <v>1318</v>
      </c>
    </row>
    <row r="942">
      <c r="A942" s="5">
        <f>HYPERLINK("https://www.oit.va.gov/Services/TRM/ToolPage.aspx?tid=5828^","Oracle Forms")</f>
      </c>
      <c r="B942" s="4" t="s">
        <v>136</v>
      </c>
      <c r="C942" s="9" t="s">
        <v>6</v>
      </c>
      <c r="D942" s="12" t="s">
        <v>507</v>
      </c>
    </row>
    <row r="943">
      <c r="A943" s="5">
        <f>HYPERLINK("https://www.oit.va.gov/Services/TRM/ToolPage.aspx?tid=5829^","Oracle JDeveloper")</f>
      </c>
      <c r="B943" s="4" t="s">
        <v>136</v>
      </c>
      <c r="C943" s="9" t="s">
        <v>6</v>
      </c>
      <c r="D943" s="12" t="s">
        <v>1319</v>
      </c>
    </row>
    <row r="944">
      <c r="A944" s="5">
        <f>HYPERLINK("https://www.oit.va.gov/Services/TRM/ToolPage.aspx?tid=6211^","Oracle Service Registry")</f>
      </c>
      <c r="B944" s="4" t="s">
        <v>136</v>
      </c>
      <c r="C944" s="9" t="s">
        <v>6</v>
      </c>
      <c r="D944" s="12" t="s">
        <v>507</v>
      </c>
    </row>
    <row r="945">
      <c r="A945" s="5">
        <f>HYPERLINK("https://www.oit.va.gov/Services/TRM/ToolPage.aspx?tid=14156^","Oracle Structured Query Language (SQL) Developer Data Modeler")</f>
      </c>
      <c r="B945" s="4" t="s">
        <v>136</v>
      </c>
      <c r="C945" s="9" t="s">
        <v>6</v>
      </c>
      <c r="D945" s="12" t="s">
        <v>1027</v>
      </c>
    </row>
    <row r="946">
      <c r="A946" s="5">
        <f>HYPERLINK("https://www.oit.va.gov/Services/TRM/ToolPage.aspx?tid=14001^","Orange")</f>
      </c>
      <c r="B946" s="4" t="s">
        <v>1320</v>
      </c>
      <c r="C946" s="9" t="s">
        <v>6</v>
      </c>
      <c r="D946" s="12" t="s">
        <v>1321</v>
      </c>
    </row>
    <row r="947">
      <c r="A947" s="5">
        <f>HYPERLINK("https://www.oit.va.gov/Services/TRM/ToolPage.aspx?tid=8915^","OrgChart")</f>
      </c>
      <c r="B947" s="4" t="s">
        <v>1322</v>
      </c>
      <c r="C947" s="9" t="s">
        <v>6</v>
      </c>
      <c r="D947" s="12" t="s">
        <v>1323</v>
      </c>
    </row>
    <row r="948">
      <c r="A948" s="5">
        <f>HYPERLINK("https://www.oit.va.gov/Services/TRM/ToolPage.aspx?tid=7768^","Origin")</f>
      </c>
      <c r="B948" s="4" t="s">
        <v>1324</v>
      </c>
      <c r="C948" s="9" t="s">
        <v>6</v>
      </c>
      <c r="D948" s="12" t="s">
        <v>1325</v>
      </c>
    </row>
    <row r="949">
      <c r="A949" s="5">
        <f>HYPERLINK("https://www.oit.va.gov/Services/TRM/ToolPage.aspx?tid=12884^","Orthanc")</f>
      </c>
      <c r="B949" s="4" t="s">
        <v>1326</v>
      </c>
      <c r="C949" s="9" t="s">
        <v>6</v>
      </c>
      <c r="D949" s="12" t="s">
        <v>650</v>
      </c>
    </row>
    <row r="950">
      <c r="A950" s="5">
        <f>HYPERLINK("https://www.oit.va.gov/Services/TRM/ToolPage.aspx?tid=16071^","OsteoProbe (BoneScore)")</f>
      </c>
      <c r="B950" s="4" t="s">
        <v>1327</v>
      </c>
      <c r="C950" s="9" t="s">
        <v>6</v>
      </c>
      <c r="D950" s="12" t="s">
        <v>1328</v>
      </c>
    </row>
    <row r="951">
      <c r="A951" s="5">
        <f>HYPERLINK("https://www.oit.va.gov/Services/TRM/ToolPage.aspx?tid=9316^","Paceart Optima")</f>
      </c>
      <c r="B951" s="4" t="s">
        <v>1089</v>
      </c>
      <c r="C951" s="9" t="s">
        <v>6</v>
      </c>
      <c r="D951" s="12" t="s">
        <v>1329</v>
      </c>
    </row>
    <row r="952">
      <c r="A952" s="5">
        <f>HYPERLINK("https://www.oit.va.gov/Services/TRM/ToolPage.aspx?tid=7357^","Pak-EDGE Unit Dose (UD) Barcode Labeling Software")</f>
      </c>
      <c r="B952" s="4" t="s">
        <v>1330</v>
      </c>
      <c r="C952" s="9" t="s">
        <v>6</v>
      </c>
      <c r="D952" s="12" t="s">
        <v>1331</v>
      </c>
    </row>
    <row r="953">
      <c r="A953" s="5">
        <f>HYPERLINK("https://www.oit.va.gov/Services/TRM/ToolPage.aspx?tid=15829^","Palantir Foundry Open Database Connectivity (ODBC) Driver")</f>
      </c>
      <c r="B953" s="4" t="s">
        <v>1332</v>
      </c>
      <c r="C953" s="9" t="s">
        <v>6</v>
      </c>
      <c r="D953" s="12" t="s">
        <v>1333</v>
      </c>
    </row>
    <row r="954">
      <c r="A954" s="5">
        <f>HYPERLINK("https://www.oit.va.gov/Services/TRM/ToolPage.aspx?tid=13025^","Panorama Necto")</f>
      </c>
      <c r="B954" s="4" t="s">
        <v>1334</v>
      </c>
      <c r="C954" s="9" t="s">
        <v>6</v>
      </c>
      <c r="D954" s="12" t="s">
        <v>828</v>
      </c>
    </row>
    <row r="955">
      <c r="A955" s="5">
        <f>HYPERLINK("https://www.oit.va.gov/Services/TRM/ToolPage.aspx?tid=16169^","PaperCut Print Logger")</f>
      </c>
      <c r="B955" s="4" t="s">
        <v>1335</v>
      </c>
      <c r="C955" s="9" t="s">
        <v>6</v>
      </c>
      <c r="D955" s="12" t="s">
        <v>1336</v>
      </c>
    </row>
    <row r="956">
      <c r="A956" s="5">
        <f>HYPERLINK("https://www.oit.va.gov/Services/TRM/ToolPage.aspx?tid=9318^","PAR Bins Client Setup Software")</f>
      </c>
      <c r="B956" s="4" t="s">
        <v>1337</v>
      </c>
      <c r="C956" s="9" t="s">
        <v>6</v>
      </c>
      <c r="D956" s="12" t="s">
        <v>1338</v>
      </c>
    </row>
    <row r="957">
      <c r="A957" s="5">
        <f>HYPERLINK("https://www.oit.va.gov/Services/TRM/ToolPage.aspx?tid=9409^","PAR Excellence")</f>
      </c>
      <c r="B957" s="4" t="s">
        <v>1337</v>
      </c>
      <c r="C957" s="9" t="s">
        <v>6</v>
      </c>
      <c r="D957" s="12" t="s">
        <v>1339</v>
      </c>
    </row>
    <row r="958">
      <c r="A958" s="5">
        <f>HYPERLINK("https://www.oit.va.gov/Services/TRM/ToolPage.aspx?tid=16349^","Parallel Computing Toolbox")</f>
      </c>
      <c r="B958" s="4" t="s">
        <v>1105</v>
      </c>
      <c r="C958" s="9" t="s">
        <v>6</v>
      </c>
      <c r="D958" s="12" t="s">
        <v>1340</v>
      </c>
    </row>
    <row r="959">
      <c r="A959" s="5">
        <f>HYPERLINK("https://www.oit.va.gov/Services/TRM/ToolPage.aspx?tid=15920^","Parallels Remote Application Server (RAS)")</f>
      </c>
      <c r="B959" s="4" t="s">
        <v>1341</v>
      </c>
      <c r="C959" s="9" t="s">
        <v>6</v>
      </c>
      <c r="D959" s="12" t="s">
        <v>1342</v>
      </c>
    </row>
    <row r="960">
      <c r="A960" s="5">
        <f>HYPERLINK("https://www.oit.va.gov/Services/TRM/ToolPage.aspx?tid=14138^","PathFusion")</f>
      </c>
      <c r="B960" s="4" t="s">
        <v>1343</v>
      </c>
      <c r="C960" s="9" t="s">
        <v>6</v>
      </c>
      <c r="D960" s="12" t="s">
        <v>1344</v>
      </c>
    </row>
    <row r="961">
      <c r="A961" s="5">
        <f>HYPERLINK("https://www.oit.va.gov/Services/TRM/ToolPage.aspx?tid=14853^","Patient Flow Suite (PFS)")</f>
      </c>
      <c r="B961" s="4" t="s">
        <v>294</v>
      </c>
      <c r="C961" s="9" t="s">
        <v>6</v>
      </c>
      <c r="D961" s="12" t="s">
        <v>1345</v>
      </c>
    </row>
    <row r="962">
      <c r="A962" s="5">
        <f>HYPERLINK("https://www.oit.va.gov/Services/TRM/ToolPage.aspx?tid=11572^","Patient Hub")</f>
      </c>
      <c r="B962" s="4" t="s">
        <v>1218</v>
      </c>
      <c r="C962" s="9" t="s">
        <v>6</v>
      </c>
      <c r="D962" s="12" t="s">
        <v>204</v>
      </c>
    </row>
    <row r="963">
      <c r="A963" s="5">
        <f>HYPERLINK("https://www.oit.va.gov/Services/TRM/ToolPage.aspx?tid=11782^","Patient Information Center iX (PIC iX)")</f>
      </c>
      <c r="B963" s="4" t="s">
        <v>919</v>
      </c>
      <c r="C963" s="9" t="s">
        <v>6</v>
      </c>
      <c r="D963" s="12" t="s">
        <v>1346</v>
      </c>
    </row>
    <row r="964">
      <c r="A964" s="5">
        <f>HYPERLINK("https://www.oit.va.gov/Services/TRM/ToolPage.aspx?tid=13821^","PedAlign Client Software")</f>
      </c>
      <c r="B964" s="4" t="s">
        <v>1347</v>
      </c>
      <c r="C964" s="9" t="s">
        <v>6</v>
      </c>
      <c r="D964" s="12" t="s">
        <v>1348</v>
      </c>
    </row>
    <row r="965">
      <c r="A965" s="5">
        <f>HYPERLINK("https://www.oit.va.gov/Services/TRM/ToolPage.aspx?tid=15815^","Pega Infinity Suite")</f>
      </c>
      <c r="B965" s="4" t="s">
        <v>1349</v>
      </c>
      <c r="C965" s="9" t="s">
        <v>6</v>
      </c>
      <c r="D965" s="12" t="s">
        <v>204</v>
      </c>
    </row>
    <row r="966">
      <c r="A966" s="5">
        <f>HYPERLINK("https://www.oit.va.gov/Services/TRM/ToolPage.aspx?tid=13260^","Pentacam Software")</f>
      </c>
      <c r="B966" s="4" t="s">
        <v>1350</v>
      </c>
      <c r="C966" s="9" t="s">
        <v>6</v>
      </c>
      <c r="D966" s="12" t="s">
        <v>1351</v>
      </c>
    </row>
    <row r="967">
      <c r="A967" s="5">
        <f>HYPERLINK("https://www.oit.va.gov/Services/TRM/ToolPage.aspx?tid=14281^","PenVasc Vascular Information System (VIS)")</f>
      </c>
      <c r="B967" s="4" t="s">
        <v>1352</v>
      </c>
      <c r="C967" s="9" t="s">
        <v>6</v>
      </c>
      <c r="D967" s="12" t="s">
        <v>1353</v>
      </c>
    </row>
    <row r="968">
      <c r="A968" s="5">
        <f>HYPERLINK("https://www.oit.va.gov/Services/TRM/ToolPage.aspx?tid=13672^","PeriOptimization")</f>
      </c>
      <c r="B968" s="4" t="s">
        <v>1354</v>
      </c>
      <c r="C968" s="9" t="s">
        <v>6</v>
      </c>
      <c r="D968" s="12" t="s">
        <v>1118</v>
      </c>
    </row>
    <row r="969">
      <c r="A969" s="5">
        <f>HYPERLINK("https://www.oit.va.gov/Services/TRM/ToolPage.aspx?tid=6989^","Persistent Data Masking")</f>
      </c>
      <c r="B969" s="4" t="s">
        <v>1119</v>
      </c>
      <c r="C969" s="9" t="s">
        <v>6</v>
      </c>
      <c r="D969" s="12" t="s">
        <v>521</v>
      </c>
    </row>
    <row r="970">
      <c r="A970" s="5">
        <f>HYPERLINK("https://www.oit.va.gov/Services/TRM/ToolPage.aspx?tid=11246^","PersonalEffect Storeflow")</f>
      </c>
      <c r="B970" s="4" t="s">
        <v>1355</v>
      </c>
      <c r="C970" s="9" t="s">
        <v>6</v>
      </c>
      <c r="D970" s="12" t="s">
        <v>1356</v>
      </c>
    </row>
    <row r="971">
      <c r="A971" s="5">
        <f>HYPERLINK("https://www.oit.va.gov/Services/TRM/ToolPage.aspx?tid=8347^","PharmGuard Administrator Medication Safety Software (MSS)")</f>
      </c>
      <c r="B971" s="4" t="s">
        <v>1357</v>
      </c>
      <c r="C971" s="9" t="s">
        <v>6</v>
      </c>
      <c r="D971" s="12" t="s">
        <v>1358</v>
      </c>
    </row>
    <row r="972">
      <c r="A972" s="5">
        <f>HYPERLINK("https://www.oit.va.gov/Services/TRM/ToolPage.aspx?tid=6990^","Phonak Target")</f>
      </c>
      <c r="B972" s="4" t="s">
        <v>1359</v>
      </c>
      <c r="C972" s="9" t="s">
        <v>6</v>
      </c>
      <c r="D972" s="12" t="s">
        <v>125</v>
      </c>
    </row>
    <row r="973">
      <c r="A973" s="5">
        <f>HYPERLINK("https://www.oit.va.gov/Services/TRM/ToolPage.aspx?tid=11507^","PICIS Critical Care Manager")</f>
      </c>
      <c r="B973" s="4" t="s">
        <v>1360</v>
      </c>
      <c r="C973" s="9" t="s">
        <v>6</v>
      </c>
      <c r="D973" s="12" t="s">
        <v>1361</v>
      </c>
    </row>
    <row r="974">
      <c r="A974" s="5">
        <f>HYPERLINK("https://www.oit.va.gov/Services/TRM/ToolPage.aspx?tid=6964^","PillCam Software")</f>
      </c>
      <c r="B974" s="4" t="s">
        <v>1089</v>
      </c>
      <c r="C974" s="9" t="s">
        <v>6</v>
      </c>
      <c r="D974" s="12" t="s">
        <v>1362</v>
      </c>
    </row>
    <row r="975">
      <c r="A975" s="5">
        <f>HYPERLINK("https://www.oit.va.gov/Services/TRM/ToolPage.aspx?tid=16397^","Pilotfish eiConsole")</f>
      </c>
      <c r="B975" s="4" t="s">
        <v>1363</v>
      </c>
      <c r="C975" s="9" t="s">
        <v>6</v>
      </c>
      <c r="D975" s="12" t="s">
        <v>92</v>
      </c>
    </row>
    <row r="976">
      <c r="A976" s="5">
        <f>HYPERLINK("https://www.oit.va.gov/Services/TRM/ToolPage.aspx?tid=14144^","Pipette Calibration System (PCS) Software")</f>
      </c>
      <c r="B976" s="4" t="s">
        <v>1364</v>
      </c>
      <c r="C976" s="9" t="s">
        <v>6</v>
      </c>
      <c r="D976" s="12" t="s">
        <v>1365</v>
      </c>
    </row>
    <row r="977">
      <c r="A977" s="5">
        <f>HYPERLINK("https://www.oit.va.gov/Services/TRM/ToolPage.aspx?tid=11526^","PlanetPress")</f>
      </c>
      <c r="B977" s="4" t="s">
        <v>1366</v>
      </c>
      <c r="C977" s="9" t="s">
        <v>6</v>
      </c>
      <c r="D977" s="12" t="s">
        <v>1367</v>
      </c>
    </row>
    <row r="978">
      <c r="A978" s="5">
        <f>HYPERLINK("https://www.oit.va.gov/Services/TRM/ToolPage.aspx?tid=6125^","Planmeca Romexis")</f>
      </c>
      <c r="B978" s="4" t="s">
        <v>1368</v>
      </c>
      <c r="C978" s="9" t="s">
        <v>6</v>
      </c>
      <c r="D978" s="12" t="s">
        <v>1018</v>
      </c>
    </row>
    <row r="979">
      <c r="A979" s="5">
        <f>HYPERLINK("https://www.oit.va.gov/Services/TRM/ToolPage.aspx?tid=13289^","Planview Portfolios")</f>
      </c>
      <c r="B979" s="4" t="s">
        <v>239</v>
      </c>
      <c r="C979" s="9" t="s">
        <v>6</v>
      </c>
      <c r="D979" s="12" t="s">
        <v>1369</v>
      </c>
    </row>
    <row r="980">
      <c r="A980" s="5">
        <f>HYPERLINK("https://www.oit.va.gov/Services/TRM/ToolPage.aspx?tid=13028^","Planview Tasktop Hub")</f>
      </c>
      <c r="B980" s="4" t="s">
        <v>1370</v>
      </c>
      <c r="C980" s="9" t="s">
        <v>6</v>
      </c>
      <c r="D980" s="12" t="s">
        <v>1371</v>
      </c>
    </row>
    <row r="981">
      <c r="A981" s="5">
        <f>HYPERLINK("https://www.oit.va.gov/Services/TRM/ToolPage.aspx?tid=6936^","Plexis Alerts")</f>
      </c>
      <c r="B981" s="4" t="s">
        <v>1372</v>
      </c>
      <c r="C981" s="9" t="s">
        <v>6</v>
      </c>
      <c r="D981" s="12" t="s">
        <v>1373</v>
      </c>
    </row>
    <row r="982">
      <c r="A982" s="5">
        <f>HYPERLINK("https://www.oit.va.gov/Services/TRM/ToolPage.aspx?tid=7139^","Plexis Claims Manager")</f>
      </c>
      <c r="B982" s="4" t="s">
        <v>1372</v>
      </c>
      <c r="C982" s="9" t="s">
        <v>6</v>
      </c>
      <c r="D982" s="12" t="s">
        <v>1374</v>
      </c>
    </row>
    <row r="983">
      <c r="A983" s="5">
        <f>HYPERLINK("https://www.oit.va.gov/Services/TRM/ToolPage.aspx?tid=6992^","Plexis EDIWorks")</f>
      </c>
      <c r="B983" s="4" t="s">
        <v>1372</v>
      </c>
      <c r="C983" s="9" t="s">
        <v>6</v>
      </c>
      <c r="D983" s="12" t="s">
        <v>1373</v>
      </c>
    </row>
    <row r="984">
      <c r="A984" s="5">
        <f>HYPERLINK("https://www.oit.va.gov/Services/TRM/ToolPage.aspx?tid=16260^","Polars Python DataFrame Library")</f>
      </c>
      <c r="B984" s="4" t="s">
        <v>1375</v>
      </c>
      <c r="C984" s="9" t="s">
        <v>6</v>
      </c>
      <c r="D984" s="12" t="s">
        <v>1376</v>
      </c>
    </row>
    <row r="985">
      <c r="A985" s="5">
        <f>HYPERLINK("https://www.oit.va.gov/Services/TRM/ToolPage.aspx?tid=6988^","Portable Document Format (PDF) Converter Services")</f>
      </c>
      <c r="B985" s="4" t="s">
        <v>1377</v>
      </c>
      <c r="C985" s="9" t="s">
        <v>6</v>
      </c>
      <c r="D985" s="12" t="s">
        <v>1378</v>
      </c>
    </row>
    <row r="986">
      <c r="A986" s="5">
        <f>HYPERLINK("https://www.oit.va.gov/Services/TRM/ToolPage.aspx?tid=12853^","Postman")</f>
      </c>
      <c r="B986" s="4" t="s">
        <v>1379</v>
      </c>
      <c r="C986" s="9" t="s">
        <v>6</v>
      </c>
      <c r="D986" s="12" t="s">
        <v>572</v>
      </c>
    </row>
    <row r="987">
      <c r="A987" s="5">
        <f>HYPERLINK("https://www.oit.va.gov/Services/TRM/ToolPage.aspx?tid=9942^","PowerBuilder")</f>
      </c>
      <c r="B987" s="4" t="s">
        <v>1380</v>
      </c>
      <c r="C987" s="9" t="s">
        <v>6</v>
      </c>
      <c r="D987" s="12" t="s">
        <v>1381</v>
      </c>
    </row>
    <row r="988">
      <c r="A988" s="5">
        <f>HYPERLINK("https://www.oit.va.gov/Services/TRM/ToolPage.aspx?tid=6107^","PowerScribe 360 Reporting")</f>
      </c>
      <c r="B988" s="4" t="s">
        <v>342</v>
      </c>
      <c r="C988" s="9" t="s">
        <v>6</v>
      </c>
      <c r="D988" s="12" t="s">
        <v>1382</v>
      </c>
    </row>
    <row r="989">
      <c r="A989" s="5">
        <f>HYPERLINK("https://www.oit.va.gov/Services/TRM/ToolPage.aspx?tid=7773^","PowerView")</f>
      </c>
      <c r="B989" s="4" t="s">
        <v>1383</v>
      </c>
      <c r="C989" s="9" t="s">
        <v>6</v>
      </c>
      <c r="D989" s="12" t="s">
        <v>1384</v>
      </c>
    </row>
    <row r="990">
      <c r="A990" s="5">
        <f>HYPERLINK("https://www.oit.va.gov/Services/TRM/ToolPage.aspx?tid=11439^","PraediCare")</f>
      </c>
      <c r="B990" s="4" t="s">
        <v>1385</v>
      </c>
      <c r="C990" s="9" t="s">
        <v>6</v>
      </c>
      <c r="D990" s="12" t="s">
        <v>1386</v>
      </c>
    </row>
    <row r="991">
      <c r="A991" s="5">
        <f>HYPERLINK("https://www.oit.va.gov/Services/TRM/ToolPage.aspx?tid=10414^","PraediGene")</f>
      </c>
      <c r="B991" s="4" t="s">
        <v>1387</v>
      </c>
      <c r="C991" s="9" t="s">
        <v>6</v>
      </c>
      <c r="D991" s="12" t="s">
        <v>1388</v>
      </c>
    </row>
    <row r="992">
      <c r="A992" s="5">
        <f>HYPERLINK("https://www.oit.va.gov/Services/TRM/ToolPage.aspx?tid=16831^","Presidio Transplant Database")</f>
      </c>
      <c r="B992" s="4" t="s">
        <v>1389</v>
      </c>
      <c r="C992" s="9" t="s">
        <v>6</v>
      </c>
      <c r="D992" s="12" t="s">
        <v>1390</v>
      </c>
    </row>
    <row r="993">
      <c r="A993" s="5">
        <f>HYPERLINK("https://www.oit.va.gov/Services/TRM/ToolPage.aspx?tid=16350^","Preventice Solutions Remote Agent")</f>
      </c>
      <c r="B993" s="4" t="s">
        <v>1391</v>
      </c>
      <c r="C993" s="9" t="s">
        <v>6</v>
      </c>
      <c r="D993" s="12" t="s">
        <v>1340</v>
      </c>
    </row>
    <row r="994">
      <c r="A994" s="5">
        <f>HYPERLINK("https://www.oit.va.gov/Services/TRM/ToolPage.aspx?tid=5699^","Primavera P6 Enterprise Professional Project Management (EPPM)")</f>
      </c>
      <c r="B994" s="4" t="s">
        <v>136</v>
      </c>
      <c r="C994" s="9" t="s">
        <v>6</v>
      </c>
      <c r="D994" s="12" t="s">
        <v>1318</v>
      </c>
    </row>
    <row r="995">
      <c r="A995" s="5">
        <f>HYPERLINK("https://www.oit.va.gov/Services/TRM/ToolPage.aspx?tid=6096^","Print Copy Scan (PCS) Director")</f>
      </c>
      <c r="B995" s="4" t="s">
        <v>512</v>
      </c>
      <c r="C995" s="9" t="s">
        <v>6</v>
      </c>
      <c r="D995" s="12" t="s">
        <v>1392</v>
      </c>
    </row>
    <row r="996">
      <c r="A996" s="5">
        <f>HYPERLINK("https://www.oit.va.gov/Services/TRM/ToolPage.aspx?tid=15921^","Prisma Object Relational Mapper (ORM)")</f>
      </c>
      <c r="B996" s="4" t="s">
        <v>1393</v>
      </c>
      <c r="C996" s="9" t="s">
        <v>6</v>
      </c>
      <c r="D996" s="12" t="s">
        <v>1394</v>
      </c>
    </row>
    <row r="997">
      <c r="A997" s="5">
        <f>HYPERLINK("https://www.oit.va.gov/Services/TRM/ToolPage.aspx?tid=8071^","Project Re-Engineered Discharge (RED)")</f>
      </c>
      <c r="B997" s="4" t="s">
        <v>1395</v>
      </c>
      <c r="C997" s="9" t="s">
        <v>6</v>
      </c>
      <c r="D997" s="12" t="s">
        <v>1396</v>
      </c>
    </row>
    <row r="998">
      <c r="A998" s="5">
        <f>HYPERLINK("https://www.oit.va.gov/Services/TRM/ToolPage.aspx?tid=7459^","Prosthetist`s Assistant for Upper Limb Architecture (PAULA)")</f>
      </c>
      <c r="B998" s="4" t="s">
        <v>1183</v>
      </c>
      <c r="C998" s="9" t="s">
        <v>6</v>
      </c>
      <c r="D998" s="12" t="s">
        <v>1397</v>
      </c>
    </row>
    <row r="999">
      <c r="A999" s="5">
        <f>HYPERLINK("https://www.oit.va.gov/Services/TRM/ToolPage.aspx?tid=8695^","Provation endoPRO iQ")</f>
      </c>
      <c r="B999" s="4" t="s">
        <v>1398</v>
      </c>
      <c r="C999" s="9" t="s">
        <v>6</v>
      </c>
      <c r="D999" s="12" t="s">
        <v>1399</v>
      </c>
    </row>
    <row r="1000">
      <c r="A1000" s="5">
        <f>HYPERLINK("https://www.oit.va.gov/Services/TRM/ToolPage.aspx?tid=13830^","Provider Nurse Call System")</f>
      </c>
      <c r="B1000" s="4" t="s">
        <v>1400</v>
      </c>
      <c r="C1000" s="9" t="s">
        <v>6</v>
      </c>
      <c r="D1000" s="12" t="s">
        <v>1401</v>
      </c>
    </row>
    <row r="1001">
      <c r="A1001" s="5">
        <f>HYPERLINK("https://www.oit.va.gov/Services/TRM/ToolPage.aspx?tid=11311^","ProviderID")</f>
      </c>
      <c r="B1001" s="4" t="s">
        <v>882</v>
      </c>
      <c r="C1001" s="9" t="s">
        <v>6</v>
      </c>
      <c r="D1001" s="12" t="s">
        <v>1402</v>
      </c>
    </row>
    <row r="1002">
      <c r="A1002" s="5">
        <f>HYPERLINK("https://www.oit.va.gov/Services/TRM/ToolPage.aspx?tid=10836^","PyCharm")</f>
      </c>
      <c r="B1002" s="4" t="s">
        <v>671</v>
      </c>
      <c r="C1002" s="9" t="s">
        <v>6</v>
      </c>
      <c r="D1002" s="12" t="s">
        <v>1403</v>
      </c>
    </row>
    <row r="1003">
      <c r="A1003" s="5">
        <f>HYPERLINK("https://www.oit.va.gov/Services/TRM/ToolPage.aspx?tid=10522^","Pyxis IV Prep")</f>
      </c>
      <c r="B1003" s="4" t="s">
        <v>762</v>
      </c>
      <c r="C1003" s="9" t="s">
        <v>6</v>
      </c>
      <c r="D1003" s="12" t="s">
        <v>875</v>
      </c>
    </row>
    <row r="1004">
      <c r="A1004" s="5">
        <f>HYPERLINK("https://www.oit.va.gov/Services/TRM/ToolPage.aspx?tid=9805^","Pyxis Logistics")</f>
      </c>
      <c r="B1004" s="4" t="s">
        <v>762</v>
      </c>
      <c r="C1004" s="9" t="s">
        <v>6</v>
      </c>
      <c r="D1004" s="12" t="s">
        <v>1404</v>
      </c>
    </row>
    <row r="1005">
      <c r="A1005" s="5">
        <f>HYPERLINK("https://www.oit.va.gov/Services/TRM/ToolPage.aspx?tid=9275^","Pyxis MedStation Enterprise Server (ES) System")</f>
      </c>
      <c r="B1005" s="4" t="s">
        <v>762</v>
      </c>
      <c r="C1005" s="9" t="s">
        <v>6</v>
      </c>
      <c r="D1005" s="12" t="s">
        <v>391</v>
      </c>
    </row>
    <row r="1006">
      <c r="A1006" s="5">
        <f>HYPERLINK("https://www.oit.va.gov/Services/TRM/ToolPage.aspx?tid=7620^","Q Local Scoring and Reporting Software")</f>
      </c>
      <c r="B1006" s="4" t="s">
        <v>666</v>
      </c>
      <c r="C1006" s="9" t="s">
        <v>6</v>
      </c>
      <c r="D1006" s="12" t="s">
        <v>1405</v>
      </c>
    </row>
    <row r="1007">
      <c r="A1007" s="5">
        <f>HYPERLINK("https://www.oit.va.gov/Services/TRM/ToolPage.aspx?tid=9207^","QAComplete (QAC)")</f>
      </c>
      <c r="B1007" s="4" t="s">
        <v>1406</v>
      </c>
      <c r="C1007" s="9" t="s">
        <v>6</v>
      </c>
      <c r="D1007" s="12" t="s">
        <v>1407</v>
      </c>
    </row>
    <row r="1008">
      <c r="A1008" s="5">
        <f>HYPERLINK("https://www.oit.va.gov/Services/TRM/ToolPage.aspx?tid=11787^","QC-Track")</f>
      </c>
      <c r="B1008" s="4" t="s">
        <v>1408</v>
      </c>
      <c r="C1008" s="9" t="s">
        <v>6</v>
      </c>
      <c r="D1008" s="12" t="s">
        <v>1409</v>
      </c>
    </row>
    <row r="1009">
      <c r="A1009" s="5">
        <f>HYPERLINK("https://www.oit.va.gov/Services/TRM/ToolPage.aspx?tid=9806^","Qmatic Orchestra")</f>
      </c>
      <c r="B1009" s="4" t="s">
        <v>548</v>
      </c>
      <c r="C1009" s="9" t="s">
        <v>6</v>
      </c>
      <c r="D1009" s="12" t="s">
        <v>1410</v>
      </c>
    </row>
    <row r="1010">
      <c r="A1010" s="5">
        <f>HYPERLINK("https://www.oit.va.gov/Services/TRM/ToolPage.aspx?tid=6996^","Quality Center")</f>
      </c>
      <c r="B1010" s="4" t="s">
        <v>1411</v>
      </c>
      <c r="C1010" s="9" t="s">
        <v>6</v>
      </c>
      <c r="D1010" s="12" t="s">
        <v>1018</v>
      </c>
    </row>
    <row r="1011">
      <c r="A1011" s="5">
        <f>HYPERLINK("https://www.oit.va.gov/Services/TRM/ToolPage.aspx?tid=15789^","Quest Migration Manager for Active Directory")</f>
      </c>
      <c r="B1011" s="4" t="s">
        <v>357</v>
      </c>
      <c r="C1011" s="9" t="s">
        <v>6</v>
      </c>
      <c r="D1011" s="12" t="s">
        <v>509</v>
      </c>
    </row>
    <row r="1012">
      <c r="A1012" s="5">
        <f>HYPERLINK("https://www.oit.va.gov/Services/TRM/ToolPage.aspx?tid=16837^","Quest Security Explorer")</f>
      </c>
      <c r="B1012" s="4" t="s">
        <v>357</v>
      </c>
      <c r="C1012" s="9" t="s">
        <v>6</v>
      </c>
      <c r="D1012" s="12" t="s">
        <v>1412</v>
      </c>
    </row>
    <row r="1013">
      <c r="A1013" s="5">
        <f>HYPERLINK("https://www.oit.va.gov/Services/TRM/ToolPage.aspx?tid=7297^","QuickBuild")</f>
      </c>
      <c r="B1013" s="4" t="s">
        <v>1413</v>
      </c>
      <c r="C1013" s="9" t="s">
        <v>6</v>
      </c>
      <c r="D1013" s="12" t="s">
        <v>1414</v>
      </c>
    </row>
    <row r="1014">
      <c r="A1014" s="5">
        <f>HYPERLINK("https://www.oit.va.gov/Services/TRM/ToolPage.aspx?tid=16442^","Qvera Interface Engine (QIE)")</f>
      </c>
      <c r="B1014" s="4" t="s">
        <v>1415</v>
      </c>
      <c r="C1014" s="9" t="s">
        <v>6</v>
      </c>
      <c r="D1014" s="12" t="s">
        <v>640</v>
      </c>
    </row>
    <row r="1015">
      <c r="A1015" s="5">
        <f>HYPERLINK("https://www.oit.va.gov/Services/TRM/ToolPage.aspx?tid=11035^","RadiCS")</f>
      </c>
      <c r="B1015" s="4" t="s">
        <v>1416</v>
      </c>
      <c r="C1015" s="9" t="s">
        <v>6</v>
      </c>
      <c r="D1015" s="12" t="s">
        <v>1417</v>
      </c>
    </row>
    <row r="1016">
      <c r="A1016" s="5">
        <f>HYPERLINK("https://www.oit.va.gov/Services/TRM/ToolPage.aspx?tid=12893^","RadiNET Pro")</f>
      </c>
      <c r="B1016" s="4" t="s">
        <v>1416</v>
      </c>
      <c r="C1016" s="9" t="s">
        <v>6</v>
      </c>
      <c r="D1016" s="12" t="s">
        <v>1418</v>
      </c>
    </row>
    <row r="1017">
      <c r="A1017" s="5">
        <f>HYPERLINK("https://www.oit.va.gov/Services/TRM/ToolPage.aspx?tid=13732^","Radiotherapy Incident Reporting and Analysis System (RIRAS)")</f>
      </c>
      <c r="B1017" s="4" t="s">
        <v>1419</v>
      </c>
      <c r="C1017" s="9" t="s">
        <v>6</v>
      </c>
      <c r="D1017" s="12" t="s">
        <v>1420</v>
      </c>
    </row>
    <row r="1018">
      <c r="A1018" s="5">
        <f>HYPERLINK("https://www.oit.va.gov/Services/TRM/ToolPage.aspx?tid=14830^","Rapid Magnetic Resonance Imaging (MRI)")</f>
      </c>
      <c r="B1018" s="4" t="s">
        <v>1421</v>
      </c>
      <c r="C1018" s="9" t="s">
        <v>6</v>
      </c>
      <c r="D1018" s="12" t="s">
        <v>18</v>
      </c>
    </row>
    <row r="1019">
      <c r="A1019" s="5">
        <f>HYPERLINK("https://www.oit.va.gov/Services/TRM/ToolPage.aspx?tid=9074^","RAPIDComm Data Management System")</f>
      </c>
      <c r="B1019" s="4" t="s">
        <v>1422</v>
      </c>
      <c r="C1019" s="9" t="s">
        <v>6</v>
      </c>
      <c r="D1019" s="12" t="s">
        <v>1423</v>
      </c>
    </row>
    <row r="1020">
      <c r="A1020" s="5">
        <f>HYPERLINK("https://www.oit.va.gov/Services/TRM/ToolPage.aspx?tid=6710^","ReadyAPI")</f>
      </c>
      <c r="B1020" s="4" t="s">
        <v>1406</v>
      </c>
      <c r="C1020" s="9" t="s">
        <v>6</v>
      </c>
      <c r="D1020" s="12" t="s">
        <v>940</v>
      </c>
    </row>
    <row r="1021">
      <c r="A1021" s="5">
        <f>HYPERLINK("https://www.oit.va.gov/Services/TRM/ToolPage.aspx?tid=6121^","Record Review Assistant (RRA)")</f>
      </c>
      <c r="B1021" s="4" t="s">
        <v>1424</v>
      </c>
      <c r="C1021" s="9" t="s">
        <v>6</v>
      </c>
      <c r="D1021" s="12" t="s">
        <v>1425</v>
      </c>
    </row>
    <row r="1022">
      <c r="A1022" s="5">
        <f>HYPERLINK("https://www.oit.va.gov/Services/TRM/ToolPage.aspx?tid=13147^","Red Lion Crimson")</f>
      </c>
      <c r="B1022" s="4" t="s">
        <v>1426</v>
      </c>
      <c r="C1022" s="9" t="s">
        <v>6</v>
      </c>
      <c r="D1022" s="12" t="s">
        <v>426</v>
      </c>
    </row>
    <row r="1023">
      <c r="A1023" s="5">
        <f>HYPERLINK("https://www.oit.va.gov/Services/TRM/ToolPage.aspx?tid=16435^","RedGate Structured Query Language (SQL) Monitor")</f>
      </c>
      <c r="B1023" s="4" t="s">
        <v>439</v>
      </c>
      <c r="C1023" s="9" t="s">
        <v>6</v>
      </c>
      <c r="D1023" s="12" t="s">
        <v>1427</v>
      </c>
    </row>
    <row r="1024">
      <c r="A1024" s="5">
        <f>HYPERLINK("https://www.oit.va.gov/Services/TRM/ToolPage.aspx?tid=13935^","Refactor")</f>
      </c>
      <c r="B1024" s="4" t="s">
        <v>363</v>
      </c>
      <c r="C1024" s="9" t="s">
        <v>6</v>
      </c>
      <c r="D1024" s="12" t="s">
        <v>1428</v>
      </c>
    </row>
    <row r="1025">
      <c r="A1025" s="5">
        <f>HYPERLINK("https://www.oit.va.gov/Services/TRM/ToolPage.aspx?tid=14229^","Relativity Server")</f>
      </c>
      <c r="B1025" s="4" t="s">
        <v>1429</v>
      </c>
      <c r="C1025" s="9" t="s">
        <v>6</v>
      </c>
      <c r="D1025" s="12" t="s">
        <v>1430</v>
      </c>
    </row>
    <row r="1026">
      <c r="A1026" s="5">
        <f>HYPERLINK("https://www.oit.va.gov/Services/TRM/ToolPage.aspx?tid=16290^","Remisol Advance")</f>
      </c>
      <c r="B1026" s="4" t="s">
        <v>1431</v>
      </c>
      <c r="C1026" s="9" t="s">
        <v>6</v>
      </c>
      <c r="D1026" s="12" t="s">
        <v>1432</v>
      </c>
    </row>
    <row r="1027">
      <c r="A1027" s="5">
        <f>HYPERLINK("https://www.oit.va.gov/Services/TRM/ToolPage.aspx?tid=7519^","RemLogic")</f>
      </c>
      <c r="B1027" s="4" t="s">
        <v>495</v>
      </c>
      <c r="C1027" s="9" t="s">
        <v>6</v>
      </c>
      <c r="D1027" s="12" t="s">
        <v>1433</v>
      </c>
    </row>
    <row r="1028">
      <c r="A1028" s="5">
        <f>HYPERLINK("https://www.oit.va.gov/Services/TRM/ToolPage.aspx?tid=7733^","RescueNet EventSummary")</f>
      </c>
      <c r="B1028" s="4" t="s">
        <v>1434</v>
      </c>
      <c r="C1028" s="9" t="s">
        <v>6</v>
      </c>
      <c r="D1028" s="12" t="s">
        <v>557</v>
      </c>
    </row>
    <row r="1029">
      <c r="A1029" s="5">
        <f>HYPERLINK("https://www.oit.va.gov/Services/TRM/ToolPage.aspx?tid=9735^","Responder 5")</f>
      </c>
      <c r="B1029" s="4" t="s">
        <v>1435</v>
      </c>
      <c r="C1029" s="9" t="s">
        <v>6</v>
      </c>
      <c r="D1029" s="12" t="s">
        <v>1436</v>
      </c>
    </row>
    <row r="1030">
      <c r="A1030" s="5">
        <f>HYPERLINK("https://www.oit.va.gov/Services/TRM/ToolPage.aspx?tid=15823^","Responder Enterprise")</f>
      </c>
      <c r="B1030" s="4" t="s">
        <v>1435</v>
      </c>
      <c r="C1030" s="9" t="s">
        <v>6</v>
      </c>
      <c r="D1030" s="12" t="s">
        <v>939</v>
      </c>
    </row>
    <row r="1031">
      <c r="A1031" s="5">
        <f>HYPERLINK("https://www.oit.va.gov/Services/TRM/ToolPage.aspx?tid=14326^","RMTrack")</f>
      </c>
      <c r="B1031" s="4" t="s">
        <v>1437</v>
      </c>
      <c r="C1031" s="9" t="s">
        <v>6</v>
      </c>
      <c r="D1031" s="12" t="s">
        <v>1438</v>
      </c>
    </row>
    <row r="1032">
      <c r="A1032" s="5">
        <f>HYPERLINK("https://www.oit.va.gov/Services/TRM/ToolPage.aspx?tid=13649^","Robotic Automation Studio")</f>
      </c>
      <c r="B1032" s="4" t="s">
        <v>1349</v>
      </c>
      <c r="C1032" s="9" t="s">
        <v>6</v>
      </c>
      <c r="D1032" s="12" t="s">
        <v>1439</v>
      </c>
    </row>
    <row r="1033">
      <c r="A1033" s="5">
        <f>HYPERLINK("https://www.oit.va.gov/Services/TRM/ToolPage.aspx?tid=11010^","Rocket Uniface")</f>
      </c>
      <c r="B1033" s="4" t="s">
        <v>1440</v>
      </c>
      <c r="C1033" s="9" t="s">
        <v>6</v>
      </c>
      <c r="D1033" s="12" t="s">
        <v>1441</v>
      </c>
    </row>
    <row r="1034">
      <c r="A1034" s="5">
        <f>HYPERLINK("https://www.oit.va.gov/Services/TRM/ToolPage.aspx?tid=15382^","Rotronic Monitoring Solutions (RMS)")</f>
      </c>
      <c r="B1034" s="4" t="s">
        <v>1442</v>
      </c>
      <c r="C1034" s="9" t="s">
        <v>6</v>
      </c>
      <c r="D1034" s="12" t="s">
        <v>1443</v>
      </c>
    </row>
    <row r="1035">
      <c r="A1035" s="5">
        <f>HYPERLINK("https://www.oit.va.gov/Services/TRM/ToolPage.aspx?tid=6656^","RStudio")</f>
      </c>
      <c r="B1035" s="4" t="s">
        <v>1444</v>
      </c>
      <c r="C1035" s="9" t="s">
        <v>6</v>
      </c>
      <c r="D1035" s="12" t="s">
        <v>891</v>
      </c>
    </row>
    <row r="1036">
      <c r="A1036" s="5">
        <f>HYPERLINK("https://www.oit.va.gov/Services/TRM/ToolPage.aspx?tid=15218^","RubyMine")</f>
      </c>
      <c r="B1036" s="4" t="s">
        <v>671</v>
      </c>
      <c r="C1036" s="9" t="s">
        <v>6</v>
      </c>
      <c r="D1036" s="12" t="s">
        <v>631</v>
      </c>
    </row>
    <row r="1037">
      <c r="A1037" s="5">
        <f>HYPERLINK("https://www.oit.va.gov/Services/TRM/ToolPage.aspx?tid=9914^","RxWorks Pro")</f>
      </c>
      <c r="B1037" s="4" t="s">
        <v>1445</v>
      </c>
      <c r="C1037" s="9" t="s">
        <v>6</v>
      </c>
      <c r="D1037" s="12" t="s">
        <v>1446</v>
      </c>
    </row>
    <row r="1038">
      <c r="A1038" s="5">
        <f>HYPERLINK("https://www.oit.va.gov/Services/TRM/ToolPage.aspx?tid=11093^","Safe Patient Handling (SPH) Navigator")</f>
      </c>
      <c r="B1038" s="4" t="s">
        <v>1447</v>
      </c>
      <c r="C1038" s="9" t="s">
        <v>6</v>
      </c>
      <c r="D1038" s="12" t="s">
        <v>1448</v>
      </c>
    </row>
    <row r="1039">
      <c r="A1039" s="5">
        <f>HYPERLINK("https://www.oit.va.gov/Services/TRM/ToolPage.aspx?tid=9045^","Salesforce for Outlook")</f>
      </c>
      <c r="B1039" s="4" t="s">
        <v>593</v>
      </c>
      <c r="C1039" s="9" t="s">
        <v>6</v>
      </c>
      <c r="D1039" s="12" t="s">
        <v>1449</v>
      </c>
    </row>
    <row r="1040">
      <c r="A1040" s="5">
        <f>HYPERLINK("https://www.oit.va.gov/Services/TRM/ToolPage.aspx?tid=15435^","Sanitas Pharmacy Control System (PCS)")</f>
      </c>
      <c r="B1040" s="4" t="s">
        <v>853</v>
      </c>
      <c r="C1040" s="9" t="s">
        <v>6</v>
      </c>
      <c r="D1040" s="12" t="s">
        <v>1450</v>
      </c>
    </row>
    <row r="1041">
      <c r="A1041" s="5">
        <f>HYPERLINK("https://www.oit.va.gov/Services/TRM/ToolPage.aspx?tid=6311^","SAP BusinessObjects Business Intelligence (BI)")</f>
      </c>
      <c r="B1041" s="4" t="s">
        <v>205</v>
      </c>
      <c r="C1041" s="9" t="s">
        <v>6</v>
      </c>
      <c r="D1041" s="12" t="s">
        <v>1451</v>
      </c>
    </row>
    <row r="1042">
      <c r="A1042" s="5">
        <f>HYPERLINK("https://www.oit.va.gov/Services/TRM/ToolPage.aspx?tid=14744^","SAP PowerDesigner")</f>
      </c>
      <c r="B1042" s="4" t="s">
        <v>205</v>
      </c>
      <c r="C1042" s="9" t="s">
        <v>6</v>
      </c>
      <c r="D1042" s="12" t="s">
        <v>1452</v>
      </c>
    </row>
    <row r="1043">
      <c r="A1043" s="5">
        <f>HYPERLINK("https://www.oit.va.gov/Services/TRM/ToolPage.aspx?tid=13691^","Savance Health Patient Tracking and Flow")</f>
      </c>
      <c r="B1043" s="4" t="s">
        <v>1453</v>
      </c>
      <c r="C1043" s="9" t="s">
        <v>6</v>
      </c>
      <c r="D1043" s="12" t="s">
        <v>1441</v>
      </c>
    </row>
    <row r="1044">
      <c r="A1044" s="5">
        <f>HYPERLINK("https://www.oit.va.gov/Services/TRM/ToolPage.aspx?tid=10885^","sciNote")</f>
      </c>
      <c r="B1044" s="4" t="s">
        <v>1454</v>
      </c>
      <c r="C1044" s="9" t="s">
        <v>6</v>
      </c>
      <c r="D1044" s="12" t="s">
        <v>1455</v>
      </c>
    </row>
    <row r="1045">
      <c r="A1045" s="5">
        <f>HYPERLINK("https://www.oit.va.gov/Services/TRM/ToolPage.aspx?tid=11770^","Screening, Brief Intervention, and Referral to Treatment (SBIRT) Wellness Tracker")</f>
      </c>
      <c r="B1045" s="4" t="s">
        <v>1456</v>
      </c>
      <c r="C1045" s="9" t="s">
        <v>6</v>
      </c>
      <c r="D1045" s="12" t="s">
        <v>1457</v>
      </c>
    </row>
    <row r="1046">
      <c r="A1046" s="5">
        <f>HYPERLINK("https://www.oit.va.gov/Services/TRM/ToolPage.aspx?tid=10828^","ScriptPro (SP) Central Workflow System")</f>
      </c>
      <c r="B1046" s="4" t="s">
        <v>1458</v>
      </c>
      <c r="C1046" s="9" t="s">
        <v>6</v>
      </c>
      <c r="D1046" s="12" t="s">
        <v>826</v>
      </c>
    </row>
    <row r="1047">
      <c r="A1047" s="5">
        <f>HYPERLINK("https://www.oit.va.gov/Services/TRM/ToolPage.aspx?tid=10814^","ScriptPro Inventory Management (SIM)")</f>
      </c>
      <c r="B1047" s="4" t="s">
        <v>1458</v>
      </c>
      <c r="C1047" s="9" t="s">
        <v>6</v>
      </c>
      <c r="D1047" s="12" t="s">
        <v>1459</v>
      </c>
    </row>
    <row r="1048">
      <c r="A1048" s="5">
        <f>HYPERLINK("https://www.oit.va.gov/Services/TRM/ToolPage.aspx?tid=16061^","ScriptRunner for Jira")</f>
      </c>
      <c r="B1048" s="4" t="s">
        <v>1460</v>
      </c>
      <c r="C1048" s="9" t="s">
        <v>6</v>
      </c>
      <c r="D1048" s="12" t="s">
        <v>1461</v>
      </c>
    </row>
    <row r="1049">
      <c r="A1049" s="5">
        <f>HYPERLINK("https://www.oit.va.gov/Services/TRM/ToolPage.aspx?tid=13869^","Seahorse Wave Pro")</f>
      </c>
      <c r="B1049" s="4" t="s">
        <v>370</v>
      </c>
      <c r="C1049" s="9" t="s">
        <v>6</v>
      </c>
      <c r="D1049" s="12" t="s">
        <v>1462</v>
      </c>
    </row>
    <row r="1050">
      <c r="A1050" s="5">
        <f>HYPERLINK("https://www.oit.va.gov/Services/TRM/ToolPage.aspx?tid=11480^","SecurTRAK")</f>
      </c>
      <c r="B1050" s="4" t="s">
        <v>1463</v>
      </c>
      <c r="C1050" s="9" t="s">
        <v>6</v>
      </c>
      <c r="D1050" s="12" t="s">
        <v>1464</v>
      </c>
    </row>
    <row r="1051">
      <c r="A1051" s="5">
        <f>HYPERLINK("https://www.oit.va.gov/Services/TRM/ToolPage.aspx?tid=6440^","Selenium")</f>
      </c>
      <c r="B1051" s="4" t="s">
        <v>1465</v>
      </c>
      <c r="C1051" s="9" t="s">
        <v>6</v>
      </c>
      <c r="D1051" s="12" t="s">
        <v>1466</v>
      </c>
    </row>
    <row r="1052">
      <c r="A1052" s="5">
        <f>HYPERLINK("https://www.oit.va.gov/Services/TRM/ToolPage.aspx?tid=7290^","Semantic Open Source Software (SEMOSS)")</f>
      </c>
      <c r="B1052" s="4" t="s">
        <v>1467</v>
      </c>
      <c r="C1052" s="9" t="s">
        <v>6</v>
      </c>
      <c r="D1052" s="12" t="s">
        <v>1468</v>
      </c>
    </row>
    <row r="1053">
      <c r="A1053" s="5">
        <f>HYPERLINK("https://www.oit.va.gov/Services/TRM/ToolPage.aspx?tid=11208^","Sensis Vibe")</f>
      </c>
      <c r="B1053" s="4" t="s">
        <v>1469</v>
      </c>
      <c r="C1053" s="9" t="s">
        <v>6</v>
      </c>
      <c r="D1053" s="12" t="s">
        <v>1470</v>
      </c>
    </row>
    <row r="1054">
      <c r="A1054" s="5">
        <f>HYPERLINK("https://www.oit.va.gov/Services/TRM/ToolPage.aspx?tid=11705^","Sentinel Cardiology Information Management System")</f>
      </c>
      <c r="B1054" s="4" t="s">
        <v>1152</v>
      </c>
      <c r="C1054" s="9" t="s">
        <v>6</v>
      </c>
      <c r="D1054" s="12" t="s">
        <v>1471</v>
      </c>
    </row>
    <row r="1055">
      <c r="A1055" s="5">
        <f>HYPERLINK("https://www.oit.va.gov/Services/TRM/ToolPage.aspx?tid=7381^","SentryConnect")</f>
      </c>
      <c r="B1055" s="4" t="s">
        <v>1472</v>
      </c>
      <c r="C1055" s="9" t="s">
        <v>6</v>
      </c>
      <c r="D1055" s="12" t="s">
        <v>1473</v>
      </c>
    </row>
    <row r="1056">
      <c r="A1056" s="5">
        <f>HYPERLINK("https://www.oit.va.gov/Services/TRM/ToolPage.aspx?tid=7556^","SentrySuite Software (SeS)")</f>
      </c>
      <c r="B1056" s="4" t="s">
        <v>1472</v>
      </c>
      <c r="C1056" s="9" t="s">
        <v>6</v>
      </c>
      <c r="D1056" s="12" t="s">
        <v>1402</v>
      </c>
    </row>
    <row r="1057">
      <c r="A1057" s="5">
        <f>HYPERLINK("https://www.oit.va.gov/Services/TRM/ToolPage.aspx?tid=7352^","Server Suite Free")</f>
      </c>
      <c r="B1057" s="4" t="s">
        <v>1474</v>
      </c>
      <c r="C1057" s="9" t="s">
        <v>6</v>
      </c>
      <c r="D1057" s="12" t="s">
        <v>1475</v>
      </c>
    </row>
    <row r="1058">
      <c r="A1058" s="5">
        <f>HYPERLINK("https://www.oit.va.gov/Services/TRM/ToolPage.aspx?tid=7073^","Service Virtualization")</f>
      </c>
      <c r="B1058" s="4" t="s">
        <v>347</v>
      </c>
      <c r="C1058" s="9" t="s">
        <v>6</v>
      </c>
      <c r="D1058" s="12" t="s">
        <v>1476</v>
      </c>
    </row>
    <row r="1059">
      <c r="A1059" s="5">
        <f>HYPERLINK("https://www.oit.va.gov/Services/TRM/ToolPage.aspx?tid=12858^","Shiny Server")</f>
      </c>
      <c r="B1059" s="4" t="s">
        <v>1444</v>
      </c>
      <c r="C1059" s="9" t="s">
        <v>6</v>
      </c>
      <c r="D1059" s="12" t="s">
        <v>1477</v>
      </c>
    </row>
    <row r="1060">
      <c r="A1060" s="5">
        <f>HYPERLINK("https://www.oit.va.gov/Services/TRM/ToolPage.aspx?tid=9656^","Short Cut to Field Level Users")</f>
      </c>
      <c r="B1060" s="4" t="s">
        <v>1478</v>
      </c>
      <c r="C1060" s="9" t="s">
        <v>6</v>
      </c>
      <c r="D1060" s="12" t="s">
        <v>1479</v>
      </c>
    </row>
    <row r="1061">
      <c r="A1061" s="5">
        <f>HYPERLINK("https://www.oit.va.gov/Services/TRM/ToolPage.aspx?tid=6134^","SIDEXIS XG")</f>
      </c>
      <c r="B1061" s="4" t="s">
        <v>1480</v>
      </c>
      <c r="C1061" s="9" t="s">
        <v>6</v>
      </c>
      <c r="D1061" s="12" t="s">
        <v>1481</v>
      </c>
    </row>
    <row r="1062">
      <c r="A1062" s="5">
        <f>HYPERLINK("https://www.oit.va.gov/Services/TRM/ToolPage.aspx?tid=9098^","Siemens syngo.via")</f>
      </c>
      <c r="B1062" s="4" t="s">
        <v>1469</v>
      </c>
      <c r="C1062" s="9" t="s">
        <v>6</v>
      </c>
      <c r="D1062" s="12" t="s">
        <v>1482</v>
      </c>
    </row>
    <row r="1063">
      <c r="A1063" s="5">
        <f>HYPERLINK("https://www.oit.va.gov/Services/TRM/ToolPage.aspx?tid=8981^","Sierra Summit")</f>
      </c>
      <c r="B1063" s="4" t="s">
        <v>845</v>
      </c>
      <c r="C1063" s="9" t="s">
        <v>6</v>
      </c>
      <c r="D1063" s="12" t="s">
        <v>1483</v>
      </c>
    </row>
    <row r="1064">
      <c r="A1064" s="5">
        <f>HYPERLINK("https://www.oit.va.gov/Services/TRM/ToolPage.aspx?tid=7464^","SigmaPlot")</f>
      </c>
      <c r="B1064" s="4" t="s">
        <v>1484</v>
      </c>
      <c r="C1064" s="9" t="s">
        <v>6</v>
      </c>
      <c r="D1064" s="12" t="s">
        <v>1485</v>
      </c>
    </row>
    <row r="1065">
      <c r="A1065" s="5">
        <f>HYPERLINK("https://www.oit.va.gov/Services/TRM/ToolPage.aspx?tid=8083^","Silhouette")</f>
      </c>
      <c r="B1065" s="4" t="s">
        <v>1486</v>
      </c>
      <c r="C1065" s="9" t="s">
        <v>6</v>
      </c>
      <c r="D1065" s="12" t="s">
        <v>1487</v>
      </c>
    </row>
    <row r="1066">
      <c r="A1066" s="5">
        <f>HYPERLINK("https://www.oit.va.gov/Services/TRM/ToolPage.aspx?tid=7032^","SILVERRUN Relational Data Modeler (RDM)")</f>
      </c>
      <c r="B1066" s="4" t="s">
        <v>1488</v>
      </c>
      <c r="C1066" s="9" t="s">
        <v>6</v>
      </c>
      <c r="D1066" s="12" t="s">
        <v>1489</v>
      </c>
    </row>
    <row r="1067">
      <c r="A1067" s="5">
        <f>HYPERLINK("https://www.oit.va.gov/Services/TRM/ToolPage.aspx?tid=11613^","SimCapture")</f>
      </c>
      <c r="B1067" s="4" t="s">
        <v>1490</v>
      </c>
      <c r="C1067" s="9" t="s">
        <v>6</v>
      </c>
      <c r="D1067" s="12" t="s">
        <v>1491</v>
      </c>
    </row>
    <row r="1068">
      <c r="A1068" s="5">
        <f>HYPERLINK("https://www.oit.va.gov/Services/TRM/ToolPage.aspx?tid=9718^","SIMULATIONiQ Enterprise")</f>
      </c>
      <c r="B1068" s="4" t="s">
        <v>1492</v>
      </c>
      <c r="C1068" s="9" t="s">
        <v>6</v>
      </c>
      <c r="D1068" s="12" t="s">
        <v>1493</v>
      </c>
    </row>
    <row r="1069">
      <c r="A1069" s="5">
        <f>HYPERLINK("https://www.oit.va.gov/Services/TRM/ToolPage.aspx?tid=8432^","Sleepware G3")</f>
      </c>
      <c r="B1069" s="4" t="s">
        <v>919</v>
      </c>
      <c r="C1069" s="9" t="s">
        <v>6</v>
      </c>
      <c r="D1069" s="12" t="s">
        <v>447</v>
      </c>
    </row>
    <row r="1070">
      <c r="A1070" s="5">
        <f>HYPERLINK("https://www.oit.va.gov/Services/TRM/ToolPage.aspx?tid=15373^","Softeon Supply Chain Solution Suite")</f>
      </c>
      <c r="B1070" s="4" t="s">
        <v>1494</v>
      </c>
      <c r="C1070" s="9" t="s">
        <v>6</v>
      </c>
      <c r="D1070" s="12" t="s">
        <v>1495</v>
      </c>
    </row>
    <row r="1071">
      <c r="A1071" s="5">
        <f>HYPERLINK("https://www.oit.va.gov/Services/TRM/ToolPage.aspx?tid=14840^","SolarWinds Structured Query Language (SQL) Sentry")</f>
      </c>
      <c r="B1071" s="4" t="s">
        <v>431</v>
      </c>
      <c r="C1071" s="9" t="s">
        <v>6</v>
      </c>
      <c r="D1071" s="12" t="s">
        <v>1496</v>
      </c>
    </row>
    <row r="1072">
      <c r="A1072" s="5">
        <f>HYPERLINK("https://www.oit.va.gov/Services/TRM/ToolPage.aspx?tid=12901^","Solarwinds Virtual Infrastructure Monitor (VIM)")</f>
      </c>
      <c r="B1072" s="4" t="s">
        <v>431</v>
      </c>
      <c r="C1072" s="9" t="s">
        <v>6</v>
      </c>
      <c r="D1072" s="12" t="s">
        <v>1497</v>
      </c>
    </row>
    <row r="1073">
      <c r="A1073" s="5">
        <f>HYPERLINK("https://www.oit.va.gov/Services/TRM/ToolPage.aspx?tid=9512^","Solutions Business Manager (SBM)")</f>
      </c>
      <c r="B1073" s="4" t="s">
        <v>1314</v>
      </c>
      <c r="C1073" s="9" t="s">
        <v>6</v>
      </c>
      <c r="D1073" s="12" t="s">
        <v>1498</v>
      </c>
    </row>
    <row r="1074">
      <c r="A1074" s="5">
        <f>HYPERLINK("https://www.oit.va.gov/Services/TRM/ToolPage.aspx?tid=7693^","SomnoStar Sleep System")</f>
      </c>
      <c r="B1074" s="4" t="s">
        <v>1472</v>
      </c>
      <c r="C1074" s="9" t="s">
        <v>6</v>
      </c>
      <c r="D1074" s="12" t="s">
        <v>1499</v>
      </c>
    </row>
    <row r="1075">
      <c r="A1075" s="5">
        <f>HYPERLINK("https://www.oit.va.gov/Services/TRM/ToolPage.aspx?tid=14703^","SonoSite Synchronicity")</f>
      </c>
      <c r="B1075" s="4" t="s">
        <v>1500</v>
      </c>
      <c r="C1075" s="9" t="s">
        <v>6</v>
      </c>
      <c r="D1075" s="12" t="s">
        <v>430</v>
      </c>
    </row>
    <row r="1076">
      <c r="A1076" s="5">
        <f>HYPERLINK("https://www.oit.va.gov/Services/TRM/ToolPage.aspx?tid=12931^","Sorna Vertex Importer")</f>
      </c>
      <c r="B1076" s="4" t="s">
        <v>1501</v>
      </c>
      <c r="C1076" s="9" t="s">
        <v>6</v>
      </c>
      <c r="D1076" s="12" t="s">
        <v>1502</v>
      </c>
    </row>
    <row r="1077">
      <c r="A1077" s="5">
        <f>HYPERLINK("https://www.oit.va.gov/Services/TRM/ToolPage.aspx?tid=8019^","SoundWave")</f>
      </c>
      <c r="B1077" s="4" t="s">
        <v>752</v>
      </c>
      <c r="C1077" s="9" t="s">
        <v>6</v>
      </c>
      <c r="D1077" s="12" t="s">
        <v>193</v>
      </c>
    </row>
    <row r="1078">
      <c r="A1078" s="5">
        <f>HYPERLINK("https://www.oit.va.gov/Services/TRM/ToolPage.aspx?tid=10856^","SP Central Server")</f>
      </c>
      <c r="B1078" s="4" t="s">
        <v>1458</v>
      </c>
      <c r="C1078" s="9" t="s">
        <v>6</v>
      </c>
      <c r="D1078" s="12" t="s">
        <v>1503</v>
      </c>
    </row>
    <row r="1079">
      <c r="A1079" s="5">
        <f>HYPERLINK("https://www.oit.va.gov/Services/TRM/ToolPage.aspx?tid=16844^","SpecBuilder")</f>
      </c>
      <c r="B1079" s="4" t="s">
        <v>1504</v>
      </c>
      <c r="C1079" s="9" t="s">
        <v>6</v>
      </c>
      <c r="D1079" s="12" t="s">
        <v>1505</v>
      </c>
    </row>
    <row r="1080">
      <c r="A1080" s="5">
        <f>HYPERLINK("https://www.oit.va.gov/Services/TRM/ToolPage.aspx?tid=13219^","SphygmoCor XCEL Software Suite")</f>
      </c>
      <c r="B1080" s="4" t="s">
        <v>1506</v>
      </c>
      <c r="C1080" s="9" t="s">
        <v>6</v>
      </c>
      <c r="D1080" s="12" t="s">
        <v>1507</v>
      </c>
    </row>
    <row r="1081">
      <c r="A1081" s="5">
        <f>HYPERLINK("https://www.oit.va.gov/Services/TRM/ToolPage.aspx?tid=11473^","Spok Care Connect")</f>
      </c>
      <c r="B1081" s="4" t="s">
        <v>1508</v>
      </c>
      <c r="C1081" s="9" t="s">
        <v>6</v>
      </c>
      <c r="D1081" s="12" t="s">
        <v>1509</v>
      </c>
    </row>
    <row r="1082">
      <c r="A1082" s="5">
        <f>HYPERLINK("https://www.oit.va.gov/Services/TRM/ToolPage.aspx?tid=11461^","Spok Secure Messaging")</f>
      </c>
      <c r="B1082" s="4" t="s">
        <v>1508</v>
      </c>
      <c r="C1082" s="9" t="s">
        <v>6</v>
      </c>
      <c r="D1082" s="12" t="s">
        <v>1510</v>
      </c>
    </row>
    <row r="1083">
      <c r="A1083" s="5">
        <f>HYPERLINK("https://www.oit.va.gov/Services/TRM/ToolPage.aspx?tid=6335^","Spotlight on Structured Query Language (SQL) Server Enterprise")</f>
      </c>
      <c r="B1083" s="4" t="s">
        <v>357</v>
      </c>
      <c r="C1083" s="9" t="s">
        <v>6</v>
      </c>
      <c r="D1083" s="12" t="s">
        <v>1511</v>
      </c>
    </row>
    <row r="1084">
      <c r="A1084" s="5">
        <f>HYPERLINK("https://www.oit.va.gov/Services/TRM/ToolPage.aspx?tid=6291^","Spring Batch")</f>
      </c>
      <c r="B1084" s="4" t="s">
        <v>1512</v>
      </c>
      <c r="C1084" s="9" t="s">
        <v>6</v>
      </c>
      <c r="D1084" s="12" t="s">
        <v>1513</v>
      </c>
    </row>
    <row r="1085">
      <c r="A1085" s="5">
        <f>HYPERLINK("https://www.oit.va.gov/Services/TRM/ToolPage.aspx?tid=10039^","SQCpack")</f>
      </c>
      <c r="B1085" s="4" t="s">
        <v>1514</v>
      </c>
      <c r="C1085" s="9" t="s">
        <v>6</v>
      </c>
      <c r="D1085" s="12" t="s">
        <v>1515</v>
      </c>
    </row>
    <row r="1086">
      <c r="A1086" s="5">
        <f>HYPERLINK("https://www.oit.va.gov/Services/TRM/ToolPage.aspx?tid=7013^","SQL Source Control")</f>
      </c>
      <c r="B1086" s="4" t="s">
        <v>439</v>
      </c>
      <c r="C1086" s="9" t="s">
        <v>6</v>
      </c>
      <c r="D1086" s="12" t="s">
        <v>1516</v>
      </c>
    </row>
    <row r="1087">
      <c r="A1087" s="5">
        <f>HYPERLINK("https://www.oit.va.gov/Services/TRM/ToolPage.aspx?tid=15696^","SQLECTRON Graphical User Interface (GUI)")</f>
      </c>
      <c r="B1087" s="4" t="s">
        <v>1517</v>
      </c>
      <c r="C1087" s="9" t="s">
        <v>6</v>
      </c>
      <c r="D1087" s="12" t="s">
        <v>1518</v>
      </c>
    </row>
    <row r="1088">
      <c r="A1088" s="5">
        <f>HYPERLINK("https://www.oit.va.gov/Services/TRM/ToolPage.aspx?tid=15540^","SquaredUp for System Center Operations Manager (SCOM)")</f>
      </c>
      <c r="B1088" s="4" t="s">
        <v>1519</v>
      </c>
      <c r="C1088" s="9" t="s">
        <v>6</v>
      </c>
      <c r="D1088" s="12" t="s">
        <v>391</v>
      </c>
    </row>
    <row r="1089">
      <c r="A1089" s="5">
        <f>HYPERLINK("https://www.oit.va.gov/Services/TRM/ToolPage.aspx?tid=8308^","SSIS Tasks for SQL Server")</f>
      </c>
      <c r="B1089" s="4" t="s">
        <v>1520</v>
      </c>
      <c r="C1089" s="9" t="s">
        <v>6</v>
      </c>
      <c r="D1089" s="12" t="s">
        <v>1521</v>
      </c>
    </row>
    <row r="1090">
      <c r="A1090" s="5">
        <f>HYPERLINK("https://www.oit.va.gov/Services/TRM/ToolPage.aspx?tid=7502^","STARLIMS")</f>
      </c>
      <c r="B1090" s="4" t="s">
        <v>1522</v>
      </c>
      <c r="C1090" s="9" t="s">
        <v>6</v>
      </c>
      <c r="D1090" s="12" t="s">
        <v>1523</v>
      </c>
    </row>
    <row r="1091">
      <c r="A1091" s="5">
        <f>HYPERLINK("https://www.oit.va.gov/Services/TRM/ToolPage.aspx?tid=6195^","Statistical Analysis System (SAS) Base")</f>
      </c>
      <c r="B1091" s="4" t="s">
        <v>183</v>
      </c>
      <c r="C1091" s="9" t="s">
        <v>6</v>
      </c>
      <c r="D1091" s="12" t="s">
        <v>1524</v>
      </c>
    </row>
    <row r="1092">
      <c r="A1092" s="5">
        <f>HYPERLINK("https://www.oit.va.gov/Services/TRM/ToolPage.aspx?tid=15612^","Statistical Analysis System (SAS) Viya")</f>
      </c>
      <c r="B1092" s="4" t="s">
        <v>183</v>
      </c>
      <c r="C1092" s="9" t="s">
        <v>6</v>
      </c>
      <c r="D1092" s="12" t="s">
        <v>1525</v>
      </c>
    </row>
    <row r="1093">
      <c r="A1093" s="5">
        <f>HYPERLINK("https://www.oit.va.gov/Services/TRM/ToolPage.aspx?tid=14969^","Statistical Package for the Social Sciences (SPSS) Modeler")</f>
      </c>
      <c r="B1093" s="4" t="s">
        <v>233</v>
      </c>
      <c r="C1093" s="9" t="s">
        <v>6</v>
      </c>
      <c r="D1093" s="12" t="s">
        <v>1526</v>
      </c>
    </row>
    <row r="1094">
      <c r="A1094" s="5">
        <f>HYPERLINK("https://www.oit.va.gov/Services/TRM/ToolPage.aspx?tid=8514^","Statistical Product and Service Solutions (SPSS) Regression")</f>
      </c>
      <c r="B1094" s="4" t="s">
        <v>233</v>
      </c>
      <c r="C1094" s="9" t="s">
        <v>6</v>
      </c>
      <c r="D1094" s="12" t="s">
        <v>1527</v>
      </c>
    </row>
    <row r="1095">
      <c r="A1095" s="5">
        <f>HYPERLINK("https://www.oit.va.gov/Services/TRM/ToolPage.aspx?tid=5730^","Statistical Product and Service Solutions (SPSS) Statistics")</f>
      </c>
      <c r="B1095" s="4" t="s">
        <v>233</v>
      </c>
      <c r="C1095" s="9" t="s">
        <v>6</v>
      </c>
      <c r="D1095" s="12" t="s">
        <v>1528</v>
      </c>
    </row>
    <row r="1096">
      <c r="A1096" s="5">
        <f>HYPERLINK("https://www.oit.va.gov/Services/TRM/ToolPage.aspx?tid=16273^","STEMSOFT LAB")</f>
      </c>
      <c r="B1096" s="4" t="s">
        <v>1529</v>
      </c>
      <c r="C1096" s="9" t="s">
        <v>6</v>
      </c>
      <c r="D1096" s="12" t="s">
        <v>1530</v>
      </c>
    </row>
    <row r="1097">
      <c r="A1097" s="5">
        <f>HYPERLINK("https://www.oit.va.gov/Services/TRM/ToolPage.aspx?tid=10332^","Sterile Processing Microsystem (SPM) Instrument Tracking Software")</f>
      </c>
      <c r="B1097" s="4" t="s">
        <v>758</v>
      </c>
      <c r="C1097" s="9" t="s">
        <v>6</v>
      </c>
      <c r="D1097" s="12" t="s">
        <v>1531</v>
      </c>
    </row>
    <row r="1098">
      <c r="A1098" s="5">
        <f>HYPERLINK("https://www.oit.va.gov/Services/TRM/ToolPage.aspx?tid=7291^","Stimulsoft Reports.Web")</f>
      </c>
      <c r="B1098" s="4" t="s">
        <v>1532</v>
      </c>
      <c r="C1098" s="9" t="s">
        <v>6</v>
      </c>
      <c r="D1098" s="12" t="s">
        <v>1533</v>
      </c>
    </row>
    <row r="1099">
      <c r="A1099" s="5">
        <f>HYPERLINK("https://www.oit.va.gov/Services/TRM/ToolPage.aspx?tid=11689^","StreamConnect")</f>
      </c>
      <c r="B1099" s="4" t="s">
        <v>1534</v>
      </c>
      <c r="C1099" s="9" t="s">
        <v>6</v>
      </c>
      <c r="D1099" s="12" t="s">
        <v>1535</v>
      </c>
    </row>
    <row r="1100">
      <c r="A1100" s="5">
        <f>HYPERLINK("https://www.oit.va.gov/Services/TRM/ToolPage.aspx?tid=11212^","Structured Query Language (SQL) Data Generator")</f>
      </c>
      <c r="B1100" s="4" t="s">
        <v>439</v>
      </c>
      <c r="C1100" s="9" t="s">
        <v>6</v>
      </c>
      <c r="D1100" s="12" t="s">
        <v>1536</v>
      </c>
    </row>
    <row r="1101">
      <c r="A1101" s="5">
        <f>HYPERLINK("https://www.oit.va.gov/Services/TRM/ToolPage.aspx?tid=11200^","Structured Query Language (SQL) Dependency Tracker")</f>
      </c>
      <c r="B1101" s="4" t="s">
        <v>437</v>
      </c>
      <c r="C1101" s="9" t="s">
        <v>6</v>
      </c>
      <c r="D1101" s="12" t="s">
        <v>443</v>
      </c>
    </row>
    <row r="1102">
      <c r="A1102" s="5">
        <f>HYPERLINK("https://www.oit.va.gov/Services/TRM/ToolPage.aspx?tid=7010^","Structured Query Language (SQL) Monitor")</f>
      </c>
      <c r="B1102" s="4" t="s">
        <v>439</v>
      </c>
      <c r="C1102" s="9" t="s">
        <v>6</v>
      </c>
      <c r="D1102" s="12" t="s">
        <v>272</v>
      </c>
    </row>
    <row r="1103">
      <c r="A1103" s="5">
        <f>HYPERLINK("https://www.oit.va.gov/Services/TRM/ToolPage.aspx?tid=7012^","Structured Query Language (SQL) Search")</f>
      </c>
      <c r="B1103" s="4" t="s">
        <v>439</v>
      </c>
      <c r="C1103" s="9" t="s">
        <v>6</v>
      </c>
      <c r="D1103" s="12" t="s">
        <v>1537</v>
      </c>
    </row>
    <row r="1104">
      <c r="A1104" s="5">
        <f>HYPERLINK("https://www.oit.va.gov/Services/TRM/ToolPage.aspx?tid=7088^","StyleVision")</f>
      </c>
      <c r="B1104" s="4" t="s">
        <v>973</v>
      </c>
      <c r="C1104" s="9" t="s">
        <v>6</v>
      </c>
      <c r="D1104" s="12" t="s">
        <v>1538</v>
      </c>
    </row>
    <row r="1105">
      <c r="A1105" s="5">
        <f>HYPERLINK("https://www.oit.va.gov/Services/TRM/ToolPage.aspx?tid=13125^","Sun Nuclear Corporation (SNC) Dosimetry Software")</f>
      </c>
      <c r="B1105" s="4" t="s">
        <v>1539</v>
      </c>
      <c r="C1105" s="9" t="s">
        <v>6</v>
      </c>
      <c r="D1105" s="12" t="s">
        <v>1540</v>
      </c>
    </row>
    <row r="1106">
      <c r="A1106" s="5">
        <f>HYPERLINK("https://www.oit.va.gov/Services/TRM/ToolPage.aspx?tid=15683^","SunCheck Machine")</f>
      </c>
      <c r="B1106" s="4" t="s">
        <v>1539</v>
      </c>
      <c r="C1106" s="9" t="s">
        <v>6</v>
      </c>
      <c r="D1106" s="12" t="s">
        <v>1541</v>
      </c>
    </row>
    <row r="1107">
      <c r="A1107" s="5">
        <f>HYPERLINK("https://www.oit.va.gov/Services/TRM/ToolPage.aspx?tid=15675^","SunCheck Patient")</f>
      </c>
      <c r="B1107" s="4" t="s">
        <v>1539</v>
      </c>
      <c r="C1107" s="9" t="s">
        <v>6</v>
      </c>
      <c r="D1107" s="12" t="s">
        <v>1542</v>
      </c>
    </row>
    <row r="1108">
      <c r="A1108" s="5">
        <f>HYPERLINK("https://www.oit.va.gov/Services/TRM/ToolPage.aspx?tid=16414^","SunDOSE")</f>
      </c>
      <c r="B1108" s="4" t="s">
        <v>1539</v>
      </c>
      <c r="C1108" s="9" t="s">
        <v>6</v>
      </c>
      <c r="D1108" s="12" t="s">
        <v>1543</v>
      </c>
    </row>
    <row r="1109">
      <c r="A1109" s="5">
        <f>HYPERLINK("https://www.oit.va.gov/Services/TRM/ToolPage.aspx?tid=7131^","SureTrend")</f>
      </c>
      <c r="B1109" s="4" t="s">
        <v>1544</v>
      </c>
      <c r="C1109" s="9" t="s">
        <v>6</v>
      </c>
      <c r="D1109" s="12" t="s">
        <v>1186</v>
      </c>
    </row>
    <row r="1110">
      <c r="A1110" s="5">
        <f>HYPERLINK("https://www.oit.va.gov/Services/TRM/ToolPage.aspx?tid=16250^","Symedical")</f>
      </c>
      <c r="B1110" s="4" t="s">
        <v>1545</v>
      </c>
      <c r="C1110" s="9" t="s">
        <v>6</v>
      </c>
      <c r="D1110" s="12" t="s">
        <v>1546</v>
      </c>
    </row>
    <row r="1111">
      <c r="A1111" s="5">
        <f>HYPERLINK("https://www.oit.va.gov/Services/TRM/ToolPage.aspx?tid=9768^","Symfit")</f>
      </c>
      <c r="B1111" s="4" t="s">
        <v>748</v>
      </c>
      <c r="C1111" s="9" t="s">
        <v>6</v>
      </c>
      <c r="D1111" s="12" t="s">
        <v>1547</v>
      </c>
    </row>
    <row r="1112">
      <c r="A1112" s="5">
        <f>HYPERLINK("https://www.oit.va.gov/Services/TRM/ToolPage.aspx?tid=14334^","Synapse Cardiovascular PACS")</f>
      </c>
      <c r="B1112" s="4" t="s">
        <v>1548</v>
      </c>
      <c r="C1112" s="9" t="s">
        <v>6</v>
      </c>
      <c r="D1112" s="12" t="s">
        <v>943</v>
      </c>
    </row>
    <row r="1113">
      <c r="A1113" s="5">
        <f>HYPERLINK("https://www.oit.va.gov/Services/TRM/ToolPage.aspx?tid=10576^","Syngo Dynamics")</f>
      </c>
      <c r="B1113" s="4" t="s">
        <v>1422</v>
      </c>
      <c r="C1113" s="9" t="s">
        <v>6</v>
      </c>
      <c r="D1113" s="12" t="s">
        <v>1549</v>
      </c>
    </row>
    <row r="1114">
      <c r="A1114" s="5">
        <f>HYPERLINK("https://www.oit.va.gov/Services/TRM/ToolPage.aspx?tid=10296^","Syntrac Integration Tools")</f>
      </c>
      <c r="B1114" s="4" t="s">
        <v>1550</v>
      </c>
      <c r="C1114" s="9" t="s">
        <v>6</v>
      </c>
      <c r="D1114" s="12" t="s">
        <v>1551</v>
      </c>
    </row>
    <row r="1115">
      <c r="A1115" s="5">
        <f>HYPERLINK("https://www.oit.va.gov/Services/TRM/ToolPage.aspx?tid=14722^","Sysmon")</f>
      </c>
      <c r="B1115" s="4" t="s">
        <v>5</v>
      </c>
      <c r="C1115" s="9" t="s">
        <v>6</v>
      </c>
      <c r="D1115" s="12" t="s">
        <v>1552</v>
      </c>
    </row>
    <row r="1116">
      <c r="A1116" s="5">
        <f>HYPERLINK("https://www.oit.va.gov/Services/TRM/ToolPage.aspx?tid=6920^","System Architect")</f>
      </c>
      <c r="B1116" s="4" t="s">
        <v>714</v>
      </c>
      <c r="C1116" s="9" t="s">
        <v>6</v>
      </c>
      <c r="D1116" s="12" t="s">
        <v>1553</v>
      </c>
    </row>
    <row r="1117">
      <c r="A1117" s="5">
        <f>HYPERLINK("https://www.oit.va.gov/Services/TRM/ToolPage.aspx?tid=10264^","System Architect Xtended Team (XT)")</f>
      </c>
      <c r="B1117" s="4" t="s">
        <v>714</v>
      </c>
      <c r="C1117" s="9" t="s">
        <v>6</v>
      </c>
      <c r="D1117" s="12" t="s">
        <v>1554</v>
      </c>
    </row>
    <row r="1118">
      <c r="A1118" s="5">
        <f>HYPERLINK("https://www.oit.va.gov/Services/TRM/ToolPage.aspx?tid=9515^","System Control Center (SCC) Software")</f>
      </c>
      <c r="B1118" s="4" t="s">
        <v>1555</v>
      </c>
      <c r="C1118" s="9" t="s">
        <v>6</v>
      </c>
      <c r="D1118" s="12" t="s">
        <v>1556</v>
      </c>
    </row>
    <row r="1119">
      <c r="A1119" s="5">
        <f>HYPERLINK("https://www.oit.va.gov/Services/TRM/ToolPage.aspx?tid=8327^","Tableau Server")</f>
      </c>
      <c r="B1119" s="4" t="s">
        <v>704</v>
      </c>
      <c r="C1119" s="9" t="s">
        <v>6</v>
      </c>
      <c r="D1119" s="12" t="s">
        <v>1557</v>
      </c>
    </row>
    <row r="1120">
      <c r="A1120" s="5">
        <f>HYPERLINK("https://www.oit.va.gov/Services/TRM/ToolPage.aspx?tid=15472^","Tapit 6 Call Accounting for Small &amp; Medium Businesses (SMB) &amp; Enterprise")</f>
      </c>
      <c r="B1120" s="4" t="s">
        <v>1558</v>
      </c>
      <c r="C1120" s="9" t="s">
        <v>6</v>
      </c>
      <c r="D1120" s="12" t="s">
        <v>1559</v>
      </c>
    </row>
    <row r="1121">
      <c r="A1121" s="5">
        <f>HYPERLINK("https://www.oit.va.gov/Services/TRM/ToolPage.aspx?tid=10636^","T-DOC Cycle")</f>
      </c>
      <c r="B1121" s="4" t="s">
        <v>1560</v>
      </c>
      <c r="C1121" s="9" t="s">
        <v>6</v>
      </c>
      <c r="D1121" s="12" t="s">
        <v>1561</v>
      </c>
    </row>
    <row r="1122">
      <c r="A1122" s="5">
        <f>HYPERLINK("https://www.oit.va.gov/Services/TRM/ToolPage.aspx?tid=5847^","TeamSite")</f>
      </c>
      <c r="B1122" s="4" t="s">
        <v>651</v>
      </c>
      <c r="C1122" s="9" t="s">
        <v>6</v>
      </c>
      <c r="D1122" s="12" t="s">
        <v>1562</v>
      </c>
    </row>
    <row r="1123">
      <c r="A1123" s="5">
        <f>HYPERLINK("https://www.oit.va.gov/Services/TRM/ToolPage.aspx?tid=14226^","Telcor Quick Multi Link (QML)")</f>
      </c>
      <c r="B1123" s="4" t="s">
        <v>1563</v>
      </c>
      <c r="C1123" s="9" t="s">
        <v>6</v>
      </c>
      <c r="D1123" s="12" t="s">
        <v>779</v>
      </c>
    </row>
    <row r="1124">
      <c r="A1124" s="5">
        <f>HYPERLINK("https://www.oit.va.gov/Services/TRM/ToolPage.aspx?tid=8302^","TeleCare Record Manager (TRM) Plus")</f>
      </c>
      <c r="B1124" s="4" t="s">
        <v>294</v>
      </c>
      <c r="C1124" s="9" t="s">
        <v>6</v>
      </c>
      <c r="D1124" s="12" t="s">
        <v>1564</v>
      </c>
    </row>
    <row r="1125">
      <c r="A1125" s="5">
        <f>HYPERLINK("https://www.oit.va.gov/Services/TRM/ToolPage.aspx?tid=8038^","TempTrak")</f>
      </c>
      <c r="B1125" s="4" t="s">
        <v>1565</v>
      </c>
      <c r="C1125" s="9" t="s">
        <v>6</v>
      </c>
      <c r="D1125" s="12" t="s">
        <v>399</v>
      </c>
    </row>
    <row r="1126">
      <c r="A1126" s="5">
        <f>HYPERLINK("https://www.oit.va.gov/Services/TRM/ToolPage.aspx?tid=12940^","Test Data Management (TDM)")</f>
      </c>
      <c r="B1126" s="4" t="s">
        <v>1119</v>
      </c>
      <c r="C1126" s="9" t="s">
        <v>6</v>
      </c>
      <c r="D1126" s="12" t="s">
        <v>1566</v>
      </c>
    </row>
    <row r="1127">
      <c r="A1127" s="5">
        <f>HYPERLINK("https://www.oit.va.gov/Services/TRM/ToolPage.aspx?tid=7292^","TestComplete")</f>
      </c>
      <c r="B1127" s="4" t="s">
        <v>1406</v>
      </c>
      <c r="C1127" s="9" t="s">
        <v>6</v>
      </c>
      <c r="D1127" s="12" t="s">
        <v>1567</v>
      </c>
    </row>
    <row r="1128">
      <c r="A1128" s="5">
        <f>HYPERLINK("https://www.oit.va.gov/Services/TRM/ToolPage.aspx?tid=14057^","Tigr AP")</f>
      </c>
      <c r="B1128" s="4" t="s">
        <v>1568</v>
      </c>
      <c r="C1128" s="9" t="s">
        <v>6</v>
      </c>
      <c r="D1128" s="12" t="s">
        <v>1086</v>
      </c>
    </row>
    <row r="1129">
      <c r="A1129" s="5">
        <f>HYPERLINK("https://www.oit.va.gov/Services/TRM/ToolPage.aspx?tid=6380^","Tool for Oracle Application Developers (TOAD) Data Modeler (TDM)")</f>
      </c>
      <c r="B1129" s="4" t="s">
        <v>357</v>
      </c>
      <c r="C1129" s="9" t="s">
        <v>6</v>
      </c>
      <c r="D1129" s="12" t="s">
        <v>1513</v>
      </c>
    </row>
    <row r="1130">
      <c r="A1130" s="5">
        <f>HYPERLINK("https://www.oit.va.gov/Services/TRM/ToolPage.aspx?tid=6340^","Tool for Oracle Application Developers (TOAD) for Structured Query Language (SQL) Server")</f>
      </c>
      <c r="B1130" s="4" t="s">
        <v>357</v>
      </c>
      <c r="C1130" s="9" t="s">
        <v>6</v>
      </c>
      <c r="D1130" s="12" t="s">
        <v>1569</v>
      </c>
    </row>
    <row r="1131">
      <c r="A1131" s="5">
        <f>HYPERLINK("https://www.oit.va.gov/Services/TRM/ToolPage.aspx?tid=13541^","Tool for Oracle Application Developers (TOAD) Intelligence Central")</f>
      </c>
      <c r="B1131" s="4" t="s">
        <v>357</v>
      </c>
      <c r="C1131" s="9" t="s">
        <v>6</v>
      </c>
      <c r="D1131" s="12" t="s">
        <v>1570</v>
      </c>
    </row>
    <row r="1132">
      <c r="A1132" s="5">
        <f>HYPERLINK("https://www.oit.va.gov/Services/TRM/ToolPage.aspx?tid=9209^","Trabecular Bone Scan (TBS) iNsight")</f>
      </c>
      <c r="B1132" s="4" t="s">
        <v>874</v>
      </c>
      <c r="C1132" s="9" t="s">
        <v>6</v>
      </c>
      <c r="D1132" s="12" t="s">
        <v>442</v>
      </c>
    </row>
    <row r="1133">
      <c r="A1133" s="5">
        <f>HYPERLINK("https://www.oit.va.gov/Services/TRM/ToolPage.aspx?tid=15927^","Transaction Management")</f>
      </c>
      <c r="B1133" s="4" t="s">
        <v>1504</v>
      </c>
      <c r="C1133" s="9" t="s">
        <v>6</v>
      </c>
      <c r="D1133" s="12" t="s">
        <v>1571</v>
      </c>
    </row>
    <row r="1134">
      <c r="A1134" s="5">
        <f>HYPERLINK("https://www.oit.va.gov/Services/TRM/ToolPage.aspx?tid=12866^","TransportTracking")</f>
      </c>
      <c r="B1134" s="4" t="s">
        <v>1572</v>
      </c>
      <c r="C1134" s="9" t="s">
        <v>6</v>
      </c>
      <c r="D1134" s="12" t="s">
        <v>1573</v>
      </c>
    </row>
    <row r="1135">
      <c r="A1135" s="5">
        <f>HYPERLINK("https://www.oit.va.gov/Services/TRM/ToolPage.aspx?tid=7017^","TreeAge Pro")</f>
      </c>
      <c r="B1135" s="4" t="s">
        <v>1574</v>
      </c>
      <c r="C1135" s="9" t="s">
        <v>6</v>
      </c>
      <c r="D1135" s="12" t="s">
        <v>1575</v>
      </c>
    </row>
    <row r="1136">
      <c r="A1136" s="5">
        <f>HYPERLINK("https://www.oit.va.gov/Services/TRM/ToolPage.aspx?tid=9088^","TrueFit")</f>
      </c>
      <c r="B1136" s="4" t="s">
        <v>1576</v>
      </c>
      <c r="C1136" s="9" t="s">
        <v>6</v>
      </c>
      <c r="D1136" s="12" t="s">
        <v>1577</v>
      </c>
    </row>
    <row r="1137">
      <c r="A1137" s="5">
        <f>HYPERLINK("https://www.oit.va.gov/Services/TRM/ToolPage.aspx?tid=7350^","TRUEmanager PRO")</f>
      </c>
      <c r="B1137" s="4" t="s">
        <v>1578</v>
      </c>
      <c r="C1137" s="9" t="s">
        <v>6</v>
      </c>
      <c r="D1137" s="12" t="s">
        <v>1579</v>
      </c>
    </row>
    <row r="1138">
      <c r="A1138" s="5">
        <f>HYPERLINK("https://www.oit.va.gov/Services/TRM/ToolPage.aspx?tid=10302^","TruthPoint Rounds")</f>
      </c>
      <c r="B1138" s="4" t="s">
        <v>1580</v>
      </c>
      <c r="C1138" s="9" t="s">
        <v>6</v>
      </c>
      <c r="D1138" s="12" t="s">
        <v>1527</v>
      </c>
    </row>
    <row r="1139">
      <c r="A1139" s="5">
        <f>HYPERLINK("https://www.oit.va.gov/Services/TRM/ToolPage.aspx?tid=6959^","Tyler Application Platform (TAP)")</f>
      </c>
      <c r="B1139" s="4" t="s">
        <v>1581</v>
      </c>
      <c r="C1139" s="9" t="s">
        <v>6</v>
      </c>
      <c r="D1139" s="12" t="s">
        <v>1582</v>
      </c>
    </row>
    <row r="1140">
      <c r="A1140" s="5">
        <f>HYPERLINK("https://www.oit.va.gov/Services/TRM/ToolPage.aspx?tid=7622^","Unicom Intelligence Author")</f>
      </c>
      <c r="B1140" s="4" t="s">
        <v>714</v>
      </c>
      <c r="C1140" s="9" t="s">
        <v>6</v>
      </c>
      <c r="D1140" s="12" t="s">
        <v>1583</v>
      </c>
    </row>
    <row r="1141">
      <c r="A1141" s="5">
        <f>HYPERLINK("https://www.oit.va.gov/Services/TRM/ToolPage.aspx?tid=7549^","Unicom Intelligence Reporter")</f>
      </c>
      <c r="B1141" s="4" t="s">
        <v>714</v>
      </c>
      <c r="C1141" s="9" t="s">
        <v>6</v>
      </c>
      <c r="D1141" s="12" t="s">
        <v>1584</v>
      </c>
    </row>
    <row r="1142">
      <c r="A1142" s="5">
        <f>HYPERLINK("https://www.oit.va.gov/Services/TRM/ToolPage.aspx?tid=7616^","Unicom Intelligence Web Interviewer")</f>
      </c>
      <c r="B1142" s="4" t="s">
        <v>714</v>
      </c>
      <c r="C1142" s="9" t="s">
        <v>6</v>
      </c>
      <c r="D1142" s="12" t="s">
        <v>1584</v>
      </c>
    </row>
    <row r="1143">
      <c r="A1143" s="5">
        <f>HYPERLINK("https://www.oit.va.gov/Services/TRM/ToolPage.aspx?tid=14960^","UNICORN")</f>
      </c>
      <c r="B1143" s="4" t="s">
        <v>1585</v>
      </c>
      <c r="C1143" s="9" t="s">
        <v>6</v>
      </c>
      <c r="D1143" s="12" t="s">
        <v>1583</v>
      </c>
    </row>
    <row r="1144">
      <c r="A1144" s="5">
        <f>HYPERLINK("https://www.oit.va.gov/Services/TRM/ToolPage.aspx?tid=14894^","Unifia Environment (UE)")</f>
      </c>
      <c r="B1144" s="4" t="s">
        <v>1586</v>
      </c>
      <c r="C1144" s="9" t="s">
        <v>6</v>
      </c>
      <c r="D1144" s="12" t="s">
        <v>1587</v>
      </c>
    </row>
    <row r="1145">
      <c r="A1145" s="5">
        <f>HYPERLINK("https://www.oit.va.gov/Services/TRM/ToolPage.aspx?tid=7962^","Unity Real Time (URT)")</f>
      </c>
      <c r="B1145" s="4" t="s">
        <v>827</v>
      </c>
      <c r="C1145" s="9" t="s">
        <v>6</v>
      </c>
      <c r="D1145" s="12" t="s">
        <v>1588</v>
      </c>
    </row>
    <row r="1146">
      <c r="A1146" s="5">
        <f>HYPERLINK("https://www.oit.va.gov/Services/TRM/ToolPage.aspx?tid=9047^","Universal Point-of-care (UniPOC) Data Management System")</f>
      </c>
      <c r="B1146" s="4" t="s">
        <v>1422</v>
      </c>
      <c r="C1146" s="9" t="s">
        <v>6</v>
      </c>
      <c r="D1146" s="12" t="s">
        <v>1589</v>
      </c>
    </row>
    <row r="1147">
      <c r="A1147" s="5">
        <f>HYPERLINK("https://www.oit.va.gov/Services/TRM/ToolPage.aspx?tid=10774^","Utilization Optimization")</f>
      </c>
      <c r="B1147" s="4" t="s">
        <v>1590</v>
      </c>
      <c r="C1147" s="9" t="s">
        <v>6</v>
      </c>
      <c r="D1147" s="12" t="s">
        <v>1591</v>
      </c>
    </row>
    <row r="1148">
      <c r="A1148" s="5">
        <f>HYPERLINK("https://www.oit.va.gov/Services/TRM/ToolPage.aspx?tid=15193^","VA App Connect (VAAppConnect)")</f>
      </c>
      <c r="B1148" s="4" t="s">
        <v>1592</v>
      </c>
      <c r="C1148" s="9" t="s">
        <v>6</v>
      </c>
      <c r="D1148" s="12" t="s">
        <v>1593</v>
      </c>
    </row>
    <row r="1149">
      <c r="A1149" s="5">
        <f>HYPERLINK("https://www.oit.va.gov/Services/TRM/ToolPage.aspx?tid=10596^","VascuBase")</f>
      </c>
      <c r="B1149" s="4" t="s">
        <v>1594</v>
      </c>
      <c r="C1149" s="9" t="s">
        <v>6</v>
      </c>
      <c r="D1149" s="12" t="s">
        <v>1135</v>
      </c>
    </row>
    <row r="1150">
      <c r="A1150" s="5">
        <f>HYPERLINK("https://www.oit.va.gov/Services/TRM/ToolPage.aspx?tid=15972^","Velocity Oncology Imaging Informatics System")</f>
      </c>
      <c r="B1150" s="4" t="s">
        <v>796</v>
      </c>
      <c r="C1150" s="9" t="s">
        <v>6</v>
      </c>
      <c r="D1150" s="12" t="s">
        <v>1595</v>
      </c>
    </row>
    <row r="1151">
      <c r="A1151" s="5">
        <f>HYPERLINK("https://www.oit.va.gov/Services/TRM/ToolPage.aspx?tid=9340^","VersaTrak")</f>
      </c>
      <c r="B1151" s="4" t="s">
        <v>1596</v>
      </c>
      <c r="C1151" s="9" t="s">
        <v>6</v>
      </c>
      <c r="D1151" s="12" t="s">
        <v>1597</v>
      </c>
    </row>
    <row r="1152">
      <c r="A1152" s="5">
        <f>HYPERLINK("https://www.oit.va.gov/Services/TRM/ToolPage.aspx?tid=8303^","victor Application Server")</f>
      </c>
      <c r="B1152" s="4" t="s">
        <v>1598</v>
      </c>
      <c r="C1152" s="9" t="s">
        <v>6</v>
      </c>
      <c r="D1152" s="12" t="s">
        <v>1599</v>
      </c>
    </row>
    <row r="1153">
      <c r="A1153" s="5">
        <f>HYPERLINK("https://www.oit.va.gov/Services/TRM/ToolPage.aspx?tid=14569^","Viot Suite Setup")</f>
      </c>
      <c r="B1153" s="4" t="s">
        <v>760</v>
      </c>
      <c r="C1153" s="9" t="s">
        <v>6</v>
      </c>
      <c r="D1153" s="12" t="s">
        <v>1600</v>
      </c>
    </row>
    <row r="1154">
      <c r="A1154" s="5">
        <f>HYPERLINK("https://www.oit.va.gov/Services/TRM/ToolPage.aspx?tid=7947^","Visage 7")</f>
      </c>
      <c r="B1154" s="4" t="s">
        <v>1601</v>
      </c>
      <c r="C1154" s="9" t="s">
        <v>6</v>
      </c>
      <c r="D1154" s="12" t="s">
        <v>1602</v>
      </c>
    </row>
    <row r="1155">
      <c r="A1155" s="5">
        <f>HYPERLINK("https://www.oit.va.gov/Services/TRM/ToolPage.aspx?tid=11170^","Visiun Performance Insight (PI)")</f>
      </c>
      <c r="B1155" s="4" t="s">
        <v>1603</v>
      </c>
      <c r="C1155" s="9" t="s">
        <v>6</v>
      </c>
      <c r="D1155" s="12" t="s">
        <v>1604</v>
      </c>
    </row>
    <row r="1156">
      <c r="A1156" s="5">
        <f>HYPERLINK("https://www.oit.va.gov/Services/TRM/ToolPage.aspx?tid=10208^","Visual Paradigm")</f>
      </c>
      <c r="B1156" s="4" t="s">
        <v>1605</v>
      </c>
      <c r="C1156" s="9" t="s">
        <v>6</v>
      </c>
      <c r="D1156" s="12" t="s">
        <v>1276</v>
      </c>
    </row>
    <row r="1157">
      <c r="A1157" s="5">
        <f>HYPERLINK("https://www.oit.va.gov/Services/TRM/ToolPage.aspx?tid=10683^","Vitrea Core Client")</f>
      </c>
      <c r="B1157" s="4" t="s">
        <v>1606</v>
      </c>
      <c r="C1157" s="9" t="s">
        <v>6</v>
      </c>
      <c r="D1157" s="12" t="s">
        <v>1607</v>
      </c>
    </row>
    <row r="1158">
      <c r="A1158" s="5">
        <f>HYPERLINK("https://www.oit.va.gov/Services/TRM/ToolPage.aspx?tid=7207^","VLTrader")</f>
      </c>
      <c r="B1158" s="4" t="s">
        <v>1608</v>
      </c>
      <c r="C1158" s="9" t="s">
        <v>6</v>
      </c>
      <c r="D1158" s="12" t="s">
        <v>1133</v>
      </c>
    </row>
    <row r="1159">
      <c r="A1159" s="5">
        <f>HYPERLINK("https://www.oit.va.gov/Services/TRM/ToolPage.aspx?tid=11005^","Voalte Nurse Call")</f>
      </c>
      <c r="B1159" s="4" t="s">
        <v>925</v>
      </c>
      <c r="C1159" s="9" t="s">
        <v>6</v>
      </c>
      <c r="D1159" s="12" t="s">
        <v>1609</v>
      </c>
    </row>
    <row r="1160">
      <c r="A1160" s="5">
        <f>HYPERLINK("https://www.oit.va.gov/Services/TRM/ToolPage.aspx?tid=14291^","VoiceGuide")</f>
      </c>
      <c r="B1160" s="4" t="s">
        <v>1610</v>
      </c>
      <c r="C1160" s="9" t="s">
        <v>6</v>
      </c>
      <c r="D1160" s="12" t="s">
        <v>1611</v>
      </c>
    </row>
    <row r="1161">
      <c r="A1161" s="5">
        <f>HYPERLINK("https://www.oit.va.gov/Services/TRM/ToolPage.aspx?tid=14058^","VoiceOver Pathology Reporting Optimized (PRO)")</f>
      </c>
      <c r="B1161" s="4" t="s">
        <v>1612</v>
      </c>
      <c r="C1161" s="9" t="s">
        <v>6</v>
      </c>
      <c r="D1161" s="12" t="s">
        <v>125</v>
      </c>
    </row>
    <row r="1162">
      <c r="A1162" s="5">
        <f>HYPERLINK("https://www.oit.va.gov/Services/TRM/ToolPage.aspx?tid=13202^","Volpara Lung")</f>
      </c>
      <c r="B1162" s="4" t="s">
        <v>1218</v>
      </c>
      <c r="C1162" s="9" t="s">
        <v>6</v>
      </c>
      <c r="D1162" s="12" t="s">
        <v>161</v>
      </c>
    </row>
    <row r="1163">
      <c r="A1163" s="5">
        <f>HYPERLINK("https://www.oit.va.gov/Services/TRM/ToolPage.aspx?tid=15478^","WebLOAD")</f>
      </c>
      <c r="B1163" s="4" t="s">
        <v>1613</v>
      </c>
      <c r="C1163" s="9" t="s">
        <v>6</v>
      </c>
      <c r="D1163" s="12" t="s">
        <v>12</v>
      </c>
    </row>
    <row r="1164">
      <c r="A1164" s="5">
        <f>HYPERLINK("https://www.oit.va.gov/Services/TRM/ToolPage.aspx?tid=16277^","WellSky Biotherapies Lab")</f>
      </c>
      <c r="B1164" s="4" t="s">
        <v>1614</v>
      </c>
      <c r="C1164" s="9" t="s">
        <v>6</v>
      </c>
      <c r="D1164" s="12" t="s">
        <v>100</v>
      </c>
    </row>
    <row r="1165">
      <c r="A1165" s="5">
        <f>HYPERLINK("https://www.oit.va.gov/Services/TRM/ToolPage.aspx?tid=9488^","WhiteRabbit")</f>
      </c>
      <c r="B1165" s="4" t="s">
        <v>810</v>
      </c>
      <c r="C1165" s="9" t="s">
        <v>6</v>
      </c>
      <c r="D1165" s="12" t="s">
        <v>1615</v>
      </c>
    </row>
    <row r="1166">
      <c r="A1166" s="5">
        <f>HYPERLINK("https://www.oit.va.gov/Services/TRM/ToolPage.aspx?tid=16489^","Wiiisdom Ops")</f>
      </c>
      <c r="B1166" s="4" t="s">
        <v>1616</v>
      </c>
      <c r="C1166" s="9" t="s">
        <v>6</v>
      </c>
      <c r="D1166" s="12" t="s">
        <v>1617</v>
      </c>
    </row>
    <row r="1167">
      <c r="A1167" s="5">
        <f>HYPERLINK("https://www.oit.va.gov/Services/TRM/ToolPage.aspx?tid=11257^","WinDSX")</f>
      </c>
      <c r="B1167" s="4" t="s">
        <v>1618</v>
      </c>
      <c r="C1167" s="9" t="s">
        <v>6</v>
      </c>
      <c r="D1167" s="12" t="s">
        <v>1619</v>
      </c>
    </row>
    <row r="1168">
      <c r="A1168" s="5">
        <f>HYPERLINK("https://www.oit.va.gov/Services/TRM/ToolPage.aspx?tid=10837^","Winscribe Digital Dictation Software")</f>
      </c>
      <c r="B1168" s="4" t="s">
        <v>1620</v>
      </c>
      <c r="C1168" s="9" t="s">
        <v>6</v>
      </c>
      <c r="D1168" s="12" t="s">
        <v>1621</v>
      </c>
    </row>
    <row r="1169">
      <c r="A1169" s="5">
        <f>HYPERLINK("https://www.oit.va.gov/Services/TRM/ToolPage.aspx?tid=6749^","Work Breakdown Structure (WBS) Schedule Pro")</f>
      </c>
      <c r="B1169" s="4" t="s">
        <v>1622</v>
      </c>
      <c r="C1169" s="9" t="s">
        <v>6</v>
      </c>
      <c r="D1169" s="12" t="s">
        <v>1623</v>
      </c>
    </row>
    <row r="1170">
      <c r="A1170" s="5">
        <f>HYPERLINK("https://www.oit.va.gov/Services/TRM/ToolPage.aspx?tid=8923^","Workflow Intelligence")</f>
      </c>
      <c r="B1170" s="4" t="s">
        <v>585</v>
      </c>
      <c r="C1170" s="9" t="s">
        <v>6</v>
      </c>
      <c r="D1170" s="12" t="s">
        <v>1624</v>
      </c>
    </row>
    <row r="1171">
      <c r="A1171" s="5">
        <f>HYPERLINK("https://www.oit.va.gov/Services/TRM/ToolPage.aspx?tid=9399^","WorkflowRx")</f>
      </c>
      <c r="B1171" s="4" t="s">
        <v>786</v>
      </c>
      <c r="C1171" s="9" t="s">
        <v>6</v>
      </c>
      <c r="D1171" s="12" t="s">
        <v>1402</v>
      </c>
    </row>
    <row r="1172">
      <c r="A1172" s="5">
        <f>HYPERLINK("https://www.oit.va.gov/Services/TRM/ToolPage.aspx?tid=11734^","WorkStudy")</f>
      </c>
      <c r="B1172" s="4" t="s">
        <v>1625</v>
      </c>
      <c r="C1172" s="9" t="s">
        <v>6</v>
      </c>
      <c r="D1172" s="12" t="s">
        <v>1626</v>
      </c>
    </row>
    <row r="1173">
      <c r="A1173" s="5">
        <f>HYPERLINK("https://www.oit.va.gov/Services/TRM/ToolPage.aspx?tid=11280^","WoundVision Scout")</f>
      </c>
      <c r="B1173" s="4" t="s">
        <v>1627</v>
      </c>
      <c r="C1173" s="9" t="s">
        <v>6</v>
      </c>
      <c r="D1173" s="12" t="s">
        <v>1628</v>
      </c>
    </row>
    <row r="1174">
      <c r="A1174" s="5">
        <f>HYPERLINK("https://www.oit.va.gov/Services/TRM/ToolPage.aspx?tid=15997^","WR Medical TestWorks")</f>
      </c>
      <c r="B1174" s="4" t="s">
        <v>1629</v>
      </c>
      <c r="C1174" s="9" t="s">
        <v>6</v>
      </c>
      <c r="D1174" s="12" t="s">
        <v>1630</v>
      </c>
    </row>
    <row r="1175">
      <c r="A1175" s="5">
        <f>HYPERLINK("https://www.oit.va.gov/Services/TRM/ToolPage.aspx?tid=7484^","Xceed Zip for .NET")</f>
      </c>
      <c r="B1175" s="4" t="s">
        <v>1631</v>
      </c>
      <c r="C1175" s="9" t="s">
        <v>6</v>
      </c>
      <c r="D1175" s="12" t="s">
        <v>1632</v>
      </c>
    </row>
    <row r="1176">
      <c r="A1176" s="5">
        <f>HYPERLINK("https://www.oit.va.gov/Services/TRM/ToolPage.aspx?tid=6187^","Xcelera")</f>
      </c>
      <c r="B1176" s="4" t="s">
        <v>919</v>
      </c>
      <c r="C1176" s="9" t="s">
        <v>6</v>
      </c>
      <c r="D1176" s="12" t="s">
        <v>1633</v>
      </c>
    </row>
    <row r="1177">
      <c r="A1177" s="5">
        <f>HYPERLINK("https://www.oit.va.gov/Services/TRM/ToolPage.aspx?tid=15915^","XEngine Server")</f>
      </c>
      <c r="B1177" s="4" t="s">
        <v>1504</v>
      </c>
      <c r="C1177" s="9" t="s">
        <v>6</v>
      </c>
      <c r="D1177" s="12" t="s">
        <v>1634</v>
      </c>
    </row>
    <row r="1178">
      <c r="A1178" s="5">
        <f>HYPERLINK("https://www.oit.va.gov/Services/TRM/ToolPage.aspx?tid=13796^","Xerox Device Agent (XDA)")</f>
      </c>
      <c r="B1178" s="4" t="s">
        <v>1635</v>
      </c>
      <c r="C1178" s="9" t="s">
        <v>6</v>
      </c>
      <c r="D1178" s="12" t="s">
        <v>1636</v>
      </c>
    </row>
    <row r="1179">
      <c r="A1179" s="5">
        <f>HYPERLINK("https://www.oit.va.gov/Services/TRM/ToolPage.aspx?tid=5788^","ZebraDesigner")</f>
      </c>
      <c r="B1179" s="4" t="s">
        <v>1637</v>
      </c>
      <c r="C1179" s="9" t="s">
        <v>6</v>
      </c>
      <c r="D1179" s="12" t="s">
        <v>1638</v>
      </c>
    </row>
    <row r="1180">
      <c r="A1180" s="5">
        <f>HYPERLINK("https://www.oit.va.gov/Services/TRM/ToolPage.aspx?tid=14847^","Zoll CaseReview")</f>
      </c>
      <c r="B1180" s="4" t="s">
        <v>1434</v>
      </c>
      <c r="C1180" s="9" t="s">
        <v>6</v>
      </c>
      <c r="D1180" s="12" t="s">
        <v>1639</v>
      </c>
    </row>
    <row r="1181">
      <c r="A1181" s="5">
        <f>HYPERLINK("https://www.oit.va.gov/Services/TRM/ToolPage.aspx?tid=6241^","Arc Geographic Information System (ArcGIS) Enterprise")</f>
      </c>
      <c r="B1181" s="4" t="s">
        <v>1640</v>
      </c>
      <c r="C1181" s="9" t="s">
        <v>6</v>
      </c>
      <c r="D1181" s="12" t="s">
        <v>1641</v>
      </c>
    </row>
    <row r="1182">
      <c r="A1182" s="5">
        <f>HYPERLINK("https://www.oit.va.gov/Services/TRM/ToolPage.aspx?tid=15302^","BCS iConnect")</f>
      </c>
      <c r="B1182" s="4" t="s">
        <v>1642</v>
      </c>
      <c r="C1182" s="9" t="s">
        <v>6</v>
      </c>
      <c r="D1182" s="12" t="s">
        <v>1643</v>
      </c>
    </row>
    <row r="1183">
      <c r="A1183" s="5">
        <f>HYPERLINK("https://www.oit.va.gov/Services/TRM/ToolPage.aspx?tid=7670^","Biscom FAXCOM Suite for Windows")</f>
      </c>
      <c r="B1183" s="4" t="s">
        <v>1644</v>
      </c>
      <c r="C1183" s="9" t="s">
        <v>6</v>
      </c>
      <c r="D1183" s="12" t="s">
        <v>1645</v>
      </c>
    </row>
    <row r="1184">
      <c r="A1184" s="5">
        <f>HYPERLINK("https://www.oit.va.gov/Services/TRM/ToolPage.aspx?tid=5885^","BlackBerry AtHoc")</f>
      </c>
      <c r="B1184" s="4" t="s">
        <v>1646</v>
      </c>
      <c r="C1184" s="9" t="s">
        <v>6</v>
      </c>
      <c r="D1184" s="12" t="s">
        <v>1647</v>
      </c>
    </row>
    <row r="1185">
      <c r="A1185" s="5">
        <f>HYPERLINK("https://www.oit.va.gov/Services/TRM/ToolPage.aspx?tid=8295^","BreezeSuite")</f>
      </c>
      <c r="B1185" s="4" t="s">
        <v>1648</v>
      </c>
      <c r="C1185" s="9" t="s">
        <v>6</v>
      </c>
      <c r="D1185" s="12" t="s">
        <v>1649</v>
      </c>
    </row>
    <row r="1186">
      <c r="A1186" s="5">
        <f>HYPERLINK("https://www.oit.va.gov/Services/TRM/ToolPage.aspx?tid=15155^","Business Information Server (BIS)")</f>
      </c>
      <c r="B1186" s="4" t="s">
        <v>1650</v>
      </c>
      <c r="C1186" s="9" t="s">
        <v>6</v>
      </c>
      <c r="D1186" s="12" t="s">
        <v>1651</v>
      </c>
    </row>
    <row r="1187">
      <c r="A1187" s="5">
        <f>HYPERLINK("https://www.oit.va.gov/Services/TRM/ToolPage.aspx?tid=8282^","CAST Application Intelligence Platform (AIP)")</f>
      </c>
      <c r="B1187" s="4" t="s">
        <v>1652</v>
      </c>
      <c r="C1187" s="9" t="s">
        <v>6</v>
      </c>
      <c r="D1187" s="12" t="s">
        <v>1653</v>
      </c>
    </row>
    <row r="1188">
      <c r="A1188" s="5">
        <f>HYPERLINK("https://www.oit.va.gov/Services/TRM/ToolPage.aspx?tid=12960^","Change Auditor")</f>
      </c>
      <c r="B1188" s="4" t="s">
        <v>357</v>
      </c>
      <c r="C1188" s="9" t="s">
        <v>6</v>
      </c>
      <c r="D1188" s="12" t="s">
        <v>1654</v>
      </c>
    </row>
    <row r="1189">
      <c r="A1189" s="5">
        <f>HYPERLINK("https://www.oit.va.gov/Services/TRM/ToolPage.aspx?tid=6567^","Commvault")</f>
      </c>
      <c r="B1189" s="4" t="s">
        <v>1655</v>
      </c>
      <c r="C1189" s="9" t="s">
        <v>6</v>
      </c>
      <c r="D1189" s="12" t="s">
        <v>1641</v>
      </c>
    </row>
    <row r="1190">
      <c r="A1190" s="5">
        <f>HYPERLINK("https://www.oit.va.gov/Services/TRM/ToolPage.aspx?tid=10130^","DocuShare")</f>
      </c>
      <c r="B1190" s="4" t="s">
        <v>1635</v>
      </c>
      <c r="C1190" s="9" t="s">
        <v>6</v>
      </c>
      <c r="D1190" s="12" t="s">
        <v>1656</v>
      </c>
    </row>
    <row r="1191">
      <c r="A1191" s="5">
        <f>HYPERLINK("https://www.oit.va.gov/Services/TRM/ToolPage.aspx?tid=7299^","Event Management Systems (EMS) Enterprise")</f>
      </c>
      <c r="B1191" s="4" t="s">
        <v>1657</v>
      </c>
      <c r="C1191" s="9" t="s">
        <v>6</v>
      </c>
      <c r="D1191" s="12" t="s">
        <v>1658</v>
      </c>
    </row>
    <row r="1192">
      <c r="A1192" s="5">
        <f>HYPERLINK("https://www.oit.va.gov/Services/TRM/ToolPage.aspx?tid=5014^","Foglight")</f>
      </c>
      <c r="B1192" s="4" t="s">
        <v>357</v>
      </c>
      <c r="C1192" s="9" t="s">
        <v>6</v>
      </c>
      <c r="D1192" s="12" t="s">
        <v>1659</v>
      </c>
    </row>
    <row r="1193">
      <c r="A1193" s="5">
        <f>HYPERLINK("https://www.oit.va.gov/Services/TRM/ToolPage.aspx?tid=15838^","International Business Machines (IBM) Content Collector")</f>
      </c>
      <c r="B1193" s="4" t="s">
        <v>233</v>
      </c>
      <c r="C1193" s="9" t="s">
        <v>6</v>
      </c>
      <c r="D1193" s="12" t="s">
        <v>1660</v>
      </c>
    </row>
    <row r="1194">
      <c r="A1194" s="5">
        <f>HYPERLINK("https://www.oit.va.gov/Services/TRM/ToolPage.aspx?tid=11075^","International Business Machines (IBM) Daeja ViewONE Virtual")</f>
      </c>
      <c r="B1194" s="4" t="s">
        <v>233</v>
      </c>
      <c r="C1194" s="9" t="s">
        <v>6</v>
      </c>
      <c r="D1194" s="12" t="s">
        <v>1661</v>
      </c>
    </row>
    <row r="1195">
      <c r="A1195" s="5">
        <f>HYPERLINK("https://www.oit.va.gov/Services/TRM/ToolPage.aspx?tid=9301^","Login Enterprise")</f>
      </c>
      <c r="B1195" s="4" t="s">
        <v>1662</v>
      </c>
      <c r="C1195" s="9" t="s">
        <v>6</v>
      </c>
      <c r="D1195" s="12" t="s">
        <v>1663</v>
      </c>
    </row>
    <row r="1196">
      <c r="A1196" s="5">
        <f>HYPERLINK("https://www.oit.va.gov/Services/TRM/ToolPage.aspx?tid=15416^","Medicor Imaging Picture Archiving and Communication System (MiPACS) Storage Server")</f>
      </c>
      <c r="B1196" s="4" t="s">
        <v>1238</v>
      </c>
      <c r="C1196" s="9" t="s">
        <v>6</v>
      </c>
      <c r="D1196" s="12" t="s">
        <v>114</v>
      </c>
    </row>
    <row r="1197">
      <c r="A1197" s="5">
        <f>HYPERLINK("https://www.oit.va.gov/Services/TRM/ToolPage.aspx?tid=13602^","Microsoft Connector for Teradata")</f>
      </c>
      <c r="B1197" s="4" t="s">
        <v>1664</v>
      </c>
      <c r="C1197" s="9" t="s">
        <v>6</v>
      </c>
      <c r="D1197" s="12" t="s">
        <v>1665</v>
      </c>
    </row>
    <row r="1198">
      <c r="A1198" s="5">
        <f>HYPERLINK("https://www.oit.va.gov/Services/TRM/ToolPage.aspx?tid=5526^","NightWatchman")</f>
      </c>
      <c r="B1198" s="4" t="s">
        <v>559</v>
      </c>
      <c r="C1198" s="9" t="s">
        <v>6</v>
      </c>
      <c r="D1198" s="12" t="s">
        <v>1666</v>
      </c>
    </row>
    <row r="1199">
      <c r="A1199" s="5">
        <f>HYPERLINK("https://www.oit.va.gov/Services/TRM/ToolPage.aspx?tid=7925^","Otosuite")</f>
      </c>
      <c r="B1199" s="4" t="s">
        <v>1667</v>
      </c>
      <c r="C1199" s="9" t="s">
        <v>6</v>
      </c>
      <c r="D1199" s="12" t="s">
        <v>656</v>
      </c>
    </row>
    <row r="1200">
      <c r="A1200" s="5">
        <f>HYPERLINK("https://www.oit.va.gov/Services/TRM/ToolPage.aspx?tid=6721^","Pandora Analytics")</f>
      </c>
      <c r="B1200" s="4" t="s">
        <v>786</v>
      </c>
      <c r="C1200" s="9" t="s">
        <v>6</v>
      </c>
      <c r="D1200" s="12" t="s">
        <v>1668</v>
      </c>
    </row>
    <row r="1201">
      <c r="A1201" s="5">
        <f>HYPERLINK("https://www.oit.va.gov/Services/TRM/ToolPage.aspx?tid=9051^","Pexip Infinity")</f>
      </c>
      <c r="B1201" s="4" t="s">
        <v>403</v>
      </c>
      <c r="C1201" s="9" t="s">
        <v>6</v>
      </c>
      <c r="D1201" s="12" t="s">
        <v>1669</v>
      </c>
    </row>
    <row r="1202">
      <c r="A1202" s="5">
        <f>HYPERLINK("https://www.oit.va.gov/Services/TRM/ToolPage.aspx?tid=8652^","Recovery Manager for Exchange")</f>
      </c>
      <c r="B1202" s="4" t="s">
        <v>357</v>
      </c>
      <c r="C1202" s="9" t="s">
        <v>6</v>
      </c>
      <c r="D1202" s="12" t="s">
        <v>1013</v>
      </c>
    </row>
    <row r="1203">
      <c r="A1203" s="5">
        <f>HYPERLINK("https://www.oit.va.gov/Services/TRM/ToolPage.aspx?tid=10670^","ShareGate")</f>
      </c>
      <c r="B1203" s="4" t="s">
        <v>1670</v>
      </c>
      <c r="C1203" s="9" t="s">
        <v>6</v>
      </c>
      <c r="D1203" s="12" t="s">
        <v>680</v>
      </c>
    </row>
    <row r="1204">
      <c r="A1204" s="5">
        <f>HYPERLINK("https://www.oit.va.gov/Services/TRM/ToolPage.aspx?tid=15346^","Splashtop On-Prem")</f>
      </c>
      <c r="B1204" s="4" t="s">
        <v>1671</v>
      </c>
      <c r="C1204" s="9" t="s">
        <v>6</v>
      </c>
      <c r="D1204" s="12" t="s">
        <v>1672</v>
      </c>
    </row>
    <row r="1205">
      <c r="A1205" s="5">
        <f>HYPERLINK("https://www.oit.va.gov/Services/TRM/ToolPage.aspx?tid=14754^","Telerik Test Studio")</f>
      </c>
      <c r="B1205" s="4" t="s">
        <v>241</v>
      </c>
      <c r="C1205" s="9" t="s">
        <v>6</v>
      </c>
      <c r="D1205" s="12" t="s">
        <v>1673</v>
      </c>
    </row>
    <row r="1206">
      <c r="A1206" s="5">
        <f>HYPERLINK("https://www.oit.va.gov/Services/TRM/ToolPage.aspx?tid=14314^","Total Access Admin")</f>
      </c>
      <c r="B1206" s="4" t="s">
        <v>1674</v>
      </c>
      <c r="C1206" s="9" t="s">
        <v>6</v>
      </c>
      <c r="D1206" s="12" t="s">
        <v>1675</v>
      </c>
    </row>
    <row r="1207">
      <c r="A1207" s="5">
        <f>HYPERLINK("https://www.oit.va.gov/Services/TRM/ToolPage.aspx?tid=14310^","Total Access Memo")</f>
      </c>
      <c r="B1207" s="4" t="s">
        <v>1674</v>
      </c>
      <c r="C1207" s="9" t="s">
        <v>6</v>
      </c>
      <c r="D1207" s="12" t="s">
        <v>1676</v>
      </c>
    </row>
    <row r="1208">
      <c r="A1208" s="5">
        <f>HYPERLINK("https://www.oit.va.gov/Services/TRM/ToolPage.aspx?tid=15455^","WorkSpace ONE Unified Endpoint Management (UEM)")</f>
      </c>
      <c r="B1208" s="4" t="s">
        <v>719</v>
      </c>
      <c r="C1208" s="9" t="s">
        <v>6</v>
      </c>
      <c r="D1208" s="12" t="s">
        <v>1677</v>
      </c>
    </row>
    <row r="1209">
      <c r="A1209" s="5">
        <f>HYPERLINK("https://www.oit.va.gov/Services/TRM/ToolPage.aspx?tid=6419^","Camtasia")</f>
      </c>
      <c r="B1209" s="4" t="s">
        <v>1678</v>
      </c>
      <c r="C1209" s="9" t="s">
        <v>6</v>
      </c>
      <c r="D1209" s="12" t="s">
        <v>1679</v>
      </c>
    </row>
    <row r="1210">
      <c r="A1210" s="5">
        <f>HYPERLINK("https://www.oit.va.gov/Services/TRM/ToolPage.aspx?tid=10783^","Electrical Transient Analyzer Program (ETAP)")</f>
      </c>
      <c r="B1210" s="4" t="s">
        <v>1680</v>
      </c>
      <c r="C1210" s="9" t="s">
        <v>6</v>
      </c>
      <c r="D1210" s="12" t="s">
        <v>1681</v>
      </c>
    </row>
    <row r="1211">
      <c r="A1211" s="5">
        <f>HYPERLINK("https://www.oit.va.gov/Services/TRM/ToolPage.aspx?tid=15956^","Mendeley Cite")</f>
      </c>
      <c r="B1211" s="4" t="s">
        <v>1682</v>
      </c>
      <c r="C1211" s="9" t="s">
        <v>6</v>
      </c>
      <c r="D1211" s="12" t="s">
        <v>1683</v>
      </c>
    </row>
    <row r="1212">
      <c r="A1212" s="5">
        <f>HYPERLINK("https://www.oit.va.gov/Services/TRM/ToolPage.aspx?tid=15014^","Micro Focus Unified Functional Testing (UFT) Agent")</f>
      </c>
      <c r="B1212" s="4" t="s">
        <v>1411</v>
      </c>
      <c r="C1212" s="9" t="s">
        <v>6</v>
      </c>
      <c r="D1212" s="12" t="s">
        <v>1684</v>
      </c>
    </row>
    <row r="1213">
      <c r="A1213" s="5">
        <f>HYPERLINK("https://www.oit.va.gov/Services/TRM/ToolPage.aspx?tid=7477^","MindView")</f>
      </c>
      <c r="B1213" s="4" t="s">
        <v>1685</v>
      </c>
      <c r="C1213" s="9" t="s">
        <v>6</v>
      </c>
      <c r="D1213" s="12" t="s">
        <v>27</v>
      </c>
    </row>
    <row r="1214">
      <c r="A1214" s="5">
        <f>HYPERLINK("https://www.oit.va.gov/Services/TRM/ToolPage.aspx?tid=15377^","NCover")</f>
      </c>
      <c r="B1214" s="4" t="s">
        <v>1686</v>
      </c>
      <c r="C1214" s="9" t="s">
        <v>6</v>
      </c>
      <c r="D1214" s="12" t="s">
        <v>1687</v>
      </c>
    </row>
    <row r="1215">
      <c r="A1215" s="5">
        <f>HYPERLINK("https://www.oit.va.gov/Services/TRM/ToolPage.aspx?tid=14922^","OL Connect")</f>
      </c>
      <c r="B1215" s="4" t="s">
        <v>1688</v>
      </c>
      <c r="C1215" s="9" t="s">
        <v>6</v>
      </c>
      <c r="D1215" s="12" t="s">
        <v>1689</v>
      </c>
    </row>
    <row r="1216">
      <c r="A1216" s="5">
        <f>HYPERLINK("https://www.oit.va.gov/Services/TRM/ToolPage.aspx?tid=14924^","Vantage Barcode Labeling Software")</f>
      </c>
      <c r="B1216" s="4" t="s">
        <v>1690</v>
      </c>
      <c r="C1216" s="9" t="s">
        <v>6</v>
      </c>
      <c r="D1216" s="12" t="s">
        <v>1691</v>
      </c>
    </row>
    <row r="1217">
      <c r="A1217" s="5">
        <f>HYPERLINK("https://www.oit.va.gov/Services/TRM/ToolPage.aspx?tid=8451^","Venus 1500")</f>
      </c>
      <c r="B1217" s="4" t="s">
        <v>1692</v>
      </c>
      <c r="C1217" s="9" t="s">
        <v>6</v>
      </c>
      <c r="D1217" s="12" t="s">
        <v>1693</v>
      </c>
    </row>
    <row r="1218">
      <c r="A1218" s="5">
        <f>HYPERLINK("https://www.oit.va.gov/Services/TRM/ToolPage.aspx?tid=15183^","XLSTAT")</f>
      </c>
      <c r="B1218" s="4" t="s">
        <v>1694</v>
      </c>
      <c r="C1218" s="9" t="s">
        <v>6</v>
      </c>
      <c r="D1218" s="12" t="s">
        <v>1695</v>
      </c>
    </row>
    <row r="1219">
      <c r="A1219" s="5">
        <f>HYPERLINK("https://www.oit.va.gov/Services/TRM/ToolPage.aspx?tid=15125^","Accessibility Insights")</f>
      </c>
      <c r="B1219" s="4" t="s">
        <v>5</v>
      </c>
      <c r="C1219" s="9" t="s">
        <v>6</v>
      </c>
      <c r="D1219" s="12" t="s">
        <v>1696</v>
      </c>
    </row>
    <row r="1220">
      <c r="A1220" s="5">
        <f>HYPERLINK("https://www.oit.va.gov/Services/TRM/ToolPage.aspx?tid=15969^","Active Server Pages (ASP) .NET Core Blazor")</f>
      </c>
      <c r="B1220" s="4" t="s">
        <v>5</v>
      </c>
      <c r="C1220" s="9" t="s">
        <v>6</v>
      </c>
      <c r="D1220" s="12" t="s">
        <v>1222</v>
      </c>
    </row>
    <row r="1221">
      <c r="A1221" s="5">
        <f>HYPERLINK("https://www.oit.va.gov/Services/TRM/ToolPage.aspx?tid=10210^","ADInsight")</f>
      </c>
      <c r="B1221" s="4" t="s">
        <v>5</v>
      </c>
      <c r="C1221" s="9" t="s">
        <v>6</v>
      </c>
      <c r="D1221" s="12" t="s">
        <v>1697</v>
      </c>
    </row>
    <row r="1222">
      <c r="A1222" s="5">
        <f>HYPERLINK("https://www.oit.va.gov/Services/TRM/ToolPage.aspx?tid=13130^","AutoLaunch for Windows Embedded Compact (CE)")</f>
      </c>
      <c r="B1222" s="4" t="s">
        <v>5</v>
      </c>
      <c r="C1222" s="9" t="s">
        <v>6</v>
      </c>
      <c r="D1222" s="12" t="s">
        <v>148</v>
      </c>
    </row>
    <row r="1223">
      <c r="A1223" s="5">
        <f>HYPERLINK("https://www.oit.va.gov/Services/TRM/ToolPage.aspx?tid=14520^","Azure Data Factory Self-Hosted Integration Runtime (IR)")</f>
      </c>
      <c r="B1223" s="4" t="s">
        <v>5</v>
      </c>
      <c r="C1223" s="9" t="s">
        <v>6</v>
      </c>
      <c r="D1223" s="12" t="s">
        <v>1698</v>
      </c>
    </row>
    <row r="1224">
      <c r="A1224" s="5">
        <f>HYPERLINK("https://www.oit.va.gov/Services/TRM/ToolPage.aspx?tid=14727^","Azure Service Fabric")</f>
      </c>
      <c r="B1224" s="4" t="s">
        <v>5</v>
      </c>
      <c r="C1224" s="9" t="s">
        <v>6</v>
      </c>
      <c r="D1224" s="12" t="s">
        <v>1699</v>
      </c>
    </row>
    <row r="1225">
      <c r="A1225" s="5">
        <f>HYPERLINK("https://www.oit.va.gov/Services/TRM/ToolPage.aspx?tid=13918^","CosmosDB Emulator")</f>
      </c>
      <c r="B1225" s="4" t="s">
        <v>5</v>
      </c>
      <c r="C1225" s="9" t="s">
        <v>6</v>
      </c>
      <c r="D1225" s="12" t="s">
        <v>1525</v>
      </c>
    </row>
    <row r="1226">
      <c r="A1226" s="5">
        <f>HYPERLINK("https://www.oit.va.gov/Services/TRM/ToolPage.aspx?tid=10089^","Datazen Publisher")</f>
      </c>
      <c r="B1226" s="4" t="s">
        <v>5</v>
      </c>
      <c r="C1226" s="9" t="s">
        <v>6</v>
      </c>
      <c r="D1226" s="12" t="s">
        <v>1700</v>
      </c>
    </row>
    <row r="1227">
      <c r="A1227" s="5">
        <f>HYPERLINK("https://www.oit.va.gov/Services/TRM/ToolPage.aspx?tid=15825^","DocFX")</f>
      </c>
      <c r="B1227" s="4" t="s">
        <v>5</v>
      </c>
      <c r="C1227" s="9" t="s">
        <v>6</v>
      </c>
      <c r="D1227" s="12" t="s">
        <v>1701</v>
      </c>
    </row>
    <row r="1228">
      <c r="A1228" s="5">
        <f>HYPERLINK("https://www.oit.va.gov/Services/TRM/ToolPage.aspx?tid=11808^","DocumentFormat.OpenXml (Extensible Markup Language)")</f>
      </c>
      <c r="B1228" s="4" t="s">
        <v>5</v>
      </c>
      <c r="C1228" s="9" t="s">
        <v>6</v>
      </c>
      <c r="D1228" s="12" t="s">
        <v>1702</v>
      </c>
    </row>
    <row r="1229">
      <c r="A1229" s="5">
        <f>HYPERLINK("https://www.oit.va.gov/Services/TRM/ToolPage.aspx?tid=14272^","Dynamics 365 Configuration Migration Tool (CMT)")</f>
      </c>
      <c r="B1229" s="4" t="s">
        <v>5</v>
      </c>
      <c r="C1229" s="9" t="s">
        <v>6</v>
      </c>
      <c r="D1229" s="12" t="s">
        <v>1703</v>
      </c>
    </row>
    <row r="1230">
      <c r="A1230" s="5">
        <f>HYPERLINK("https://www.oit.va.gov/Services/TRM/ToolPage.aspx?tid=12869^","Exchange System Manager")</f>
      </c>
      <c r="B1230" s="4" t="s">
        <v>5</v>
      </c>
      <c r="C1230" s="9" t="s">
        <v>6</v>
      </c>
      <c r="D1230" s="12" t="s">
        <v>1704</v>
      </c>
    </row>
    <row r="1231">
      <c r="A1231" s="5">
        <f>HYPERLINK("https://www.oit.va.gov/Services/TRM/ToolPage.aspx?tid=11121^","Expression Design")</f>
      </c>
      <c r="B1231" s="4" t="s">
        <v>5</v>
      </c>
      <c r="C1231" s="9" t="s">
        <v>6</v>
      </c>
      <c r="D1231" s="12" t="s">
        <v>729</v>
      </c>
    </row>
    <row r="1232">
      <c r="A1232" s="5">
        <f>HYPERLINK("https://www.oit.va.gov/Services/TRM/ToolPage.aspx?tid=11780^","Handle")</f>
      </c>
      <c r="B1232" s="4" t="s">
        <v>5</v>
      </c>
      <c r="C1232" s="9" t="s">
        <v>6</v>
      </c>
      <c r="D1232" s="12" t="s">
        <v>1705</v>
      </c>
    </row>
    <row r="1233">
      <c r="A1233" s="5">
        <f>HYPERLINK("https://www.oit.va.gov/Services/TRM/ToolPage.aspx?tid=13045^","Hypertext Markup Language (HTML) Help Workshop")</f>
      </c>
      <c r="B1233" s="4" t="s">
        <v>5</v>
      </c>
      <c r="C1233" s="9" t="s">
        <v>6</v>
      </c>
      <c r="D1233" s="12" t="s">
        <v>1706</v>
      </c>
    </row>
    <row r="1234">
      <c r="A1234" s="5">
        <f>HYPERLINK("https://www.oit.va.gov/Services/TRM/ToolPage.aspx?tid=5625^","Internet Information Services (IIS) Resource Kit")</f>
      </c>
      <c r="B1234" s="4" t="s">
        <v>5</v>
      </c>
      <c r="C1234" s="9" t="s">
        <v>6</v>
      </c>
      <c r="D1234" s="12" t="s">
        <v>1707</v>
      </c>
    </row>
    <row r="1235">
      <c r="A1235" s="5">
        <f>HYPERLINK("https://www.oit.va.gov/Services/TRM/ToolPage.aspx?tid=8997^","Least-Privileged User Account (LUA) Buglight")</f>
      </c>
      <c r="B1235" s="4" t="s">
        <v>5</v>
      </c>
      <c r="C1235" s="9" t="s">
        <v>6</v>
      </c>
      <c r="D1235" s="12" t="s">
        <v>1708</v>
      </c>
    </row>
    <row r="1236">
      <c r="A1236" s="5">
        <f>HYPERLINK("https://www.oit.va.gov/Services/TRM/ToolPage.aspx?tid=9999^","Log Off User")</f>
      </c>
      <c r="B1236" s="4" t="s">
        <v>5</v>
      </c>
      <c r="C1236" s="9" t="s">
        <v>6</v>
      </c>
      <c r="D1236" s="12" t="s">
        <v>1709</v>
      </c>
    </row>
    <row r="1237">
      <c r="A1237" s="5">
        <f>HYPERLINK("https://www.oit.va.gov/Services/TRM/ToolPage.aspx?tid=8793^","Log Parser")</f>
      </c>
      <c r="B1237" s="4" t="s">
        <v>5</v>
      </c>
      <c r="C1237" s="9" t="s">
        <v>6</v>
      </c>
      <c r="D1237" s="12" t="s">
        <v>1710</v>
      </c>
    </row>
    <row r="1238">
      <c r="A1238" s="5">
        <f>HYPERLINK("https://www.oit.va.gov/Services/TRM/ToolPage.aspx?tid=9155^","Log Parser Studio")</f>
      </c>
      <c r="B1238" s="4" t="s">
        <v>5</v>
      </c>
      <c r="C1238" s="9" t="s">
        <v>6</v>
      </c>
      <c r="D1238" s="12" t="s">
        <v>1711</v>
      </c>
    </row>
    <row r="1239">
      <c r="A1239" s="5">
        <f>HYPERLINK("https://www.oit.va.gov/Services/TRM/ToolPage.aspx?tid=16045^","Machine Learning (ML).NET")</f>
      </c>
      <c r="B1239" s="4" t="s">
        <v>5</v>
      </c>
      <c r="C1239" s="9" t="s">
        <v>6</v>
      </c>
      <c r="D1239" s="12" t="s">
        <v>60</v>
      </c>
    </row>
    <row r="1240">
      <c r="A1240" s="5">
        <f>HYPERLINK("https://www.oit.va.gov/Services/TRM/ToolPage.aspx?tid=16613^","Mouse Without Borders")</f>
      </c>
      <c r="B1240" s="4" t="s">
        <v>5</v>
      </c>
      <c r="C1240" s="9" t="s">
        <v>6</v>
      </c>
      <c r="D1240" s="12" t="s">
        <v>1712</v>
      </c>
    </row>
    <row r="1241">
      <c r="A1241" s="5">
        <f>HYPERLINK("https://www.oit.va.gov/Services/TRM/ToolPage.aspx?tid=10556^","NetMeeting")</f>
      </c>
      <c r="B1241" s="4" t="s">
        <v>5</v>
      </c>
      <c r="C1241" s="9" t="s">
        <v>6</v>
      </c>
      <c r="D1241" s="12" t="s">
        <v>1713</v>
      </c>
    </row>
    <row r="1242">
      <c r="A1242" s="5">
        <f>HYPERLINK("https://www.oit.va.gov/Services/TRM/ToolPage.aspx?tid=11118^","Outlook Social Connector Provider for Windows Live Messenger")</f>
      </c>
      <c r="B1242" s="4" t="s">
        <v>5</v>
      </c>
      <c r="C1242" s="9" t="s">
        <v>6</v>
      </c>
      <c r="D1242" s="12" t="s">
        <v>1714</v>
      </c>
    </row>
    <row r="1243">
      <c r="A1243" s="5">
        <f>HYPERLINK("https://www.oit.va.gov/Services/TRM/ToolPage.aspx?tid=14295^","Package Deployer")</f>
      </c>
      <c r="B1243" s="4" t="s">
        <v>5</v>
      </c>
      <c r="C1243" s="9" t="s">
        <v>6</v>
      </c>
      <c r="D1243" s="12" t="s">
        <v>1715</v>
      </c>
    </row>
    <row r="1244">
      <c r="A1244" s="5">
        <f>HYPERLINK("https://www.oit.va.gov/Services/TRM/ToolPage.aspx?tid=10562^","PolicyMaker Registry Extension")</f>
      </c>
      <c r="B1244" s="4" t="s">
        <v>5</v>
      </c>
      <c r="C1244" s="9" t="s">
        <v>6</v>
      </c>
      <c r="D1244" s="12" t="s">
        <v>1716</v>
      </c>
    </row>
    <row r="1245">
      <c r="A1245" s="5">
        <f>HYPERLINK("https://www.oit.va.gov/Services/TRM/ToolPage.aspx?tid=15914^","Power Business Intelligence (BI) Portable Document Format (PDF) viewer visualization")</f>
      </c>
      <c r="B1245" s="4" t="s">
        <v>5</v>
      </c>
      <c r="C1245" s="9" t="s">
        <v>6</v>
      </c>
      <c r="D1245" s="12" t="s">
        <v>1717</v>
      </c>
    </row>
    <row r="1246">
      <c r="A1246" s="5">
        <f>HYPERLINK("https://www.oit.va.gov/Services/TRM/ToolPage.aspx?tid=14775^","Power Business Intelligence (BI) Publisher for Excel")</f>
      </c>
      <c r="B1246" s="4" t="s">
        <v>5</v>
      </c>
      <c r="C1246" s="9" t="s">
        <v>6</v>
      </c>
      <c r="D1246" s="12" t="s">
        <v>1718</v>
      </c>
    </row>
    <row r="1247">
      <c r="A1247" s="5">
        <f>HYPERLINK("https://www.oit.va.gov/Services/TRM/ToolPage.aspx?tid=15213^","ProcDump")</f>
      </c>
      <c r="B1247" s="4" t="s">
        <v>5</v>
      </c>
      <c r="C1247" s="9" t="s">
        <v>6</v>
      </c>
      <c r="D1247" s="12" t="s">
        <v>1719</v>
      </c>
    </row>
    <row r="1248">
      <c r="A1248" s="5">
        <f>HYPERLINK("https://www.oit.va.gov/Services/TRM/ToolPage.aspx?tid=15025^","Process Monitor")</f>
      </c>
      <c r="B1248" s="4" t="s">
        <v>5</v>
      </c>
      <c r="C1248" s="9" t="s">
        <v>6</v>
      </c>
      <c r="D1248" s="12" t="s">
        <v>1720</v>
      </c>
    </row>
    <row r="1249">
      <c r="A1249" s="5">
        <f>HYPERLINK("https://www.oit.va.gov/Services/TRM/ToolPage.aspx?tid=13483^","Random Sorter for Excel")</f>
      </c>
      <c r="B1249" s="4" t="s">
        <v>5</v>
      </c>
      <c r="C1249" s="9" t="s">
        <v>6</v>
      </c>
      <c r="D1249" s="12" t="s">
        <v>1721</v>
      </c>
    </row>
    <row r="1250">
      <c r="A1250" s="5">
        <f>HYPERLINK("https://www.oit.va.gov/Services/TRM/ToolPage.aspx?tid=12822^","Scriptomatic")</f>
      </c>
      <c r="B1250" s="4" t="s">
        <v>5</v>
      </c>
      <c r="C1250" s="9" t="s">
        <v>6</v>
      </c>
      <c r="D1250" s="12" t="s">
        <v>1722</v>
      </c>
    </row>
    <row r="1251">
      <c r="A1251" s="5">
        <f>HYPERLINK("https://www.oit.va.gov/Services/TRM/ToolPage.aspx?tid=10976^","SharePoint Color Palette Tool")</f>
      </c>
      <c r="B1251" s="4" t="s">
        <v>5</v>
      </c>
      <c r="C1251" s="9" t="s">
        <v>6</v>
      </c>
      <c r="D1251" s="12" t="s">
        <v>1723</v>
      </c>
    </row>
    <row r="1252">
      <c r="A1252" s="5">
        <f>HYPERLINK("https://www.oit.va.gov/Services/TRM/ToolPage.aspx?tid=14438^","SharePoint Color Pallet Tool")</f>
      </c>
      <c r="B1252" s="4" t="s">
        <v>5</v>
      </c>
      <c r="C1252" s="9" t="s">
        <v>6</v>
      </c>
      <c r="D1252" s="12" t="s">
        <v>1724</v>
      </c>
    </row>
    <row r="1253">
      <c r="A1253" s="5">
        <f>HYPERLINK("https://www.oit.va.gov/Services/TRM/ToolPage.aspx?tid=14790^","SharePoint Migration Tool (SPMT)")</f>
      </c>
      <c r="B1253" s="4" t="s">
        <v>5</v>
      </c>
      <c r="C1253" s="9" t="s">
        <v>6</v>
      </c>
      <c r="D1253" s="12" t="s">
        <v>1725</v>
      </c>
    </row>
    <row r="1254">
      <c r="A1254" s="5">
        <f>HYPERLINK("https://www.oit.va.gov/Services/TRM/ToolPage.aspx?tid=15764^","SharePoint Online Client Components Software Development Kit (SDK)")</f>
      </c>
      <c r="B1254" s="4" t="s">
        <v>5</v>
      </c>
      <c r="C1254" s="9" t="s">
        <v>6</v>
      </c>
      <c r="D1254" s="12" t="s">
        <v>1726</v>
      </c>
    </row>
    <row r="1255">
      <c r="A1255" s="5">
        <f>HYPERLINK("https://www.oit.va.gov/Services/TRM/ToolPage.aspx?tid=14308^","SharePoint Online Management Shell")</f>
      </c>
      <c r="B1255" s="4" t="s">
        <v>5</v>
      </c>
      <c r="C1255" s="9" t="s">
        <v>6</v>
      </c>
      <c r="D1255" s="12" t="s">
        <v>1727</v>
      </c>
    </row>
    <row r="1256">
      <c r="A1256" s="5">
        <f>HYPERLINK("https://www.oit.va.gov/Services/TRM/ToolPage.aspx?tid=15016^","Shellrunas")</f>
      </c>
      <c r="B1256" s="4" t="s">
        <v>5</v>
      </c>
      <c r="C1256" s="9" t="s">
        <v>6</v>
      </c>
      <c r="D1256" s="12" t="s">
        <v>402</v>
      </c>
    </row>
    <row r="1257">
      <c r="A1257" s="5">
        <f>HYPERLINK("https://www.oit.va.gov/Services/TRM/ToolPage.aspx?tid=9883^","TypeScript")</f>
      </c>
      <c r="B1257" s="4" t="s">
        <v>5</v>
      </c>
      <c r="C1257" s="9" t="s">
        <v>6</v>
      </c>
      <c r="D1257" s="12" t="s">
        <v>1728</v>
      </c>
    </row>
    <row r="1258">
      <c r="A1258" s="5">
        <f>HYPERLINK("https://www.oit.va.gov/Services/TRM/ToolPage.aspx?tid=14106^","Utility Spotlight Screenrecorder")</f>
      </c>
      <c r="B1258" s="4" t="s">
        <v>5</v>
      </c>
      <c r="C1258" s="9" t="s">
        <v>6</v>
      </c>
      <c r="D1258" s="12" t="s">
        <v>1729</v>
      </c>
    </row>
    <row r="1259">
      <c r="A1259" s="5">
        <f>HYPERLINK("https://www.oit.va.gov/Services/TRM/StandardPage.aspx?tid=7856^","Visual Basic .NET (VB.NET)")</f>
      </c>
      <c r="B1259" s="4" t="s">
        <v>5</v>
      </c>
      <c r="C1259" s="9" t="s">
        <v>6</v>
      </c>
      <c r="D1259" s="12" t="s">
        <v>1730</v>
      </c>
    </row>
    <row r="1260">
      <c r="A1260" s="5">
        <f>HYPERLINK("https://www.oit.va.gov/Services/TRM/ToolPage.aspx?tid=9988^","Visual Studio Software Development Kit (SDK)")</f>
      </c>
      <c r="B1260" s="4" t="s">
        <v>5</v>
      </c>
      <c r="C1260" s="9" t="s">
        <v>6</v>
      </c>
      <c r="D1260" s="12" t="s">
        <v>1731</v>
      </c>
    </row>
    <row r="1261">
      <c r="A1261" s="5">
        <f>HYPERLINK("https://www.oit.va.gov/Services/TRM/ToolPage.aspx?tid=16133^","WinAppDriver")</f>
      </c>
      <c r="B1261" s="4" t="s">
        <v>5</v>
      </c>
      <c r="C1261" s="9" t="s">
        <v>6</v>
      </c>
      <c r="D1261" s="12" t="s">
        <v>1732</v>
      </c>
    </row>
    <row r="1262">
      <c r="A1262" s="5">
        <f>HYPERLINK("https://www.oit.va.gov/Services/TRM/ToolPage.aspx?tid=10268^","Windows Communication Foundation (WCF) Data Services")</f>
      </c>
      <c r="B1262" s="4" t="s">
        <v>5</v>
      </c>
      <c r="C1262" s="9" t="s">
        <v>6</v>
      </c>
      <c r="D1262" s="12" t="s">
        <v>1733</v>
      </c>
    </row>
    <row r="1263">
      <c r="A1263" s="5">
        <f>HYPERLINK("https://www.oit.va.gov/Services/TRM/ToolPage.aspx?tid=11534^","Windows Imaging Component (WIC)")</f>
      </c>
      <c r="B1263" s="4" t="s">
        <v>5</v>
      </c>
      <c r="C1263" s="9" t="s">
        <v>6</v>
      </c>
      <c r="D1263" s="12" t="s">
        <v>1734</v>
      </c>
    </row>
    <row r="1264">
      <c r="A1264" s="5">
        <f>HYPERLINK("https://www.oit.va.gov/Services/TRM/ToolPage.aspx?tid=5769^","Windows Live Sign-in Assistant")</f>
      </c>
      <c r="B1264" s="4" t="s">
        <v>5</v>
      </c>
      <c r="C1264" s="9" t="s">
        <v>6</v>
      </c>
      <c r="D1264" s="12" t="s">
        <v>1735</v>
      </c>
    </row>
    <row r="1265">
      <c r="A1265" s="5">
        <f>HYPERLINK("https://www.oit.va.gov/Services/TRM/ToolPage.aspx?tid=16499^","Windows Local Administrator Password Solution (LAPS)")</f>
      </c>
      <c r="B1265" s="4" t="s">
        <v>5</v>
      </c>
      <c r="C1265" s="9" t="s">
        <v>6</v>
      </c>
      <c r="D1265" s="12" t="s">
        <v>1736</v>
      </c>
    </row>
    <row r="1266">
      <c r="A1266" s="5">
        <f>HYPERLINK("https://www.oit.va.gov/Services/TRM/ToolPage.aspx?tid=16118^","Windows Terminal")</f>
      </c>
      <c r="B1266" s="4" t="s">
        <v>5</v>
      </c>
      <c r="C1266" s="9" t="s">
        <v>6</v>
      </c>
      <c r="D1266" s="12" t="s">
        <v>1676</v>
      </c>
    </row>
    <row r="1267">
      <c r="A1267" s="5">
        <f>HYPERLINK("https://www.oit.va.gov/Services/TRM/ToolPage.aspx?tid=12826^","ZoomIt")</f>
      </c>
      <c r="B1267" s="4" t="s">
        <v>5</v>
      </c>
      <c r="C1267" s="9" t="s">
        <v>6</v>
      </c>
      <c r="D1267" s="12" t="s">
        <v>1737</v>
      </c>
    </row>
    <row r="1268">
      <c r="A1268" s="5">
        <f>HYPERLINK("https://www.oit.va.gov/Services/TRM/ToolPage.aspx?tid=10916^","AxonSoft")</f>
      </c>
      <c r="B1268" s="4" t="s">
        <v>1183</v>
      </c>
      <c r="C1268" s="9" t="s">
        <v>6</v>
      </c>
      <c r="D1268" s="12" t="s">
        <v>1738</v>
      </c>
    </row>
    <row r="1269">
      <c r="A1269" s="5">
        <f>HYPERLINK("https://www.oit.va.gov/Services/TRM/ToolPage.aspx?tid=8213^","eGain Analytics")</f>
      </c>
      <c r="B1269" s="4" t="s">
        <v>1008</v>
      </c>
      <c r="C1269" s="9" t="s">
        <v>6</v>
      </c>
      <c r="D1269" s="12" t="s">
        <v>1739</v>
      </c>
    </row>
    <row r="1270">
      <c r="A1270" s="5">
        <f>HYPERLINK("https://www.oit.va.gov/Services/TRM/ToolPage.aspx?tid=10745^","ElbowSoft")</f>
      </c>
      <c r="B1270" s="4" t="s">
        <v>1183</v>
      </c>
      <c r="C1270" s="9" t="s">
        <v>6</v>
      </c>
      <c r="D1270" s="12" t="s">
        <v>1740</v>
      </c>
    </row>
    <row r="1271">
      <c r="A1271" s="5">
        <f>HYPERLINK("https://www.oit.va.gov/Services/TRM/ToolPage.aspx?tid=14926^","Hitachi Replication Manager")</f>
      </c>
      <c r="B1271" s="4" t="s">
        <v>619</v>
      </c>
      <c r="C1271" s="9" t="s">
        <v>6</v>
      </c>
      <c r="D1271" s="12" t="s">
        <v>620</v>
      </c>
    </row>
    <row r="1272">
      <c r="A1272" s="5">
        <f>HYPERLINK("https://www.oit.va.gov/Services/TRM/ToolPage.aspx?tid=14925^","Hitachi Tiered Storage Manager")</f>
      </c>
      <c r="B1272" s="4" t="s">
        <v>619</v>
      </c>
      <c r="C1272" s="9" t="s">
        <v>6</v>
      </c>
      <c r="D1272" s="12" t="s">
        <v>1741</v>
      </c>
    </row>
    <row r="1273">
      <c r="A1273" s="5">
        <f>HYPERLINK("https://www.oit.va.gov/Services/TRM/ToolPage.aspx?tid=6645^","Informatica PowerExchange")</f>
      </c>
      <c r="B1273" s="4" t="s">
        <v>1119</v>
      </c>
      <c r="C1273" s="9" t="s">
        <v>6</v>
      </c>
      <c r="D1273" s="12" t="s">
        <v>98</v>
      </c>
    </row>
    <row r="1274">
      <c r="A1274" s="5">
        <f>HYPERLINK("https://www.oit.va.gov/Services/TRM/ToolPage.aspx?tid=15060^","NICE Workforce Engagement Management (WEM)")</f>
      </c>
      <c r="B1274" s="4" t="s">
        <v>1280</v>
      </c>
      <c r="C1274" s="9" t="s">
        <v>6</v>
      </c>
      <c r="D1274" s="12" t="s">
        <v>1742</v>
      </c>
    </row>
    <row r="1275">
      <c r="A1275" s="5">
        <f>HYPERLINK("https://www.oit.va.gov/Services/TRM/ToolPage.aspx?tid=15971^","OneTab")</f>
      </c>
      <c r="B1275" s="4" t="s">
        <v>1743</v>
      </c>
      <c r="C1275" s="9" t="s">
        <v>6</v>
      </c>
      <c r="D1275" s="12" t="s">
        <v>642</v>
      </c>
    </row>
    <row r="1276">
      <c r="A1276" s="5">
        <f>HYPERLINK("https://www.oit.va.gov/Services/TRM/ToolPage.aspx?tid=15765^","Stancil")</f>
      </c>
      <c r="B1276" s="4" t="s">
        <v>1744</v>
      </c>
      <c r="C1276" s="9" t="s">
        <v>6</v>
      </c>
      <c r="D1276" s="12" t="s">
        <v>1745</v>
      </c>
    </row>
    <row r="1277">
      <c r="A1277" s="5">
        <f>HYPERLINK("https://www.oit.va.gov/Services/TRM/ToolPage.aspx?tid=10767^","VI (VideoInsight) MonitorPlus")</f>
      </c>
      <c r="B1277" s="4" t="s">
        <v>1746</v>
      </c>
      <c r="C1277" s="9" t="s">
        <v>6</v>
      </c>
      <c r="D1277" s="12" t="s">
        <v>1747</v>
      </c>
    </row>
    <row r="1278">
      <c r="A1278" s="5">
        <f>HYPERLINK("https://www.oit.va.gov/Services/TRM/ToolPage.aspx?tid=15445^","XL-Connector 365")</f>
      </c>
      <c r="B1278" s="4" t="s">
        <v>1748</v>
      </c>
      <c r="C1278" s="9" t="s">
        <v>6</v>
      </c>
      <c r="D1278" s="12" t="s">
        <v>1749</v>
      </c>
    </row>
    <row r="1279">
      <c r="A1279" s="5">
        <f>HYPERLINK("https://www.oit.va.gov/Services/TRM/ToolPage.aspx?tid=8201^","@RISK")</f>
      </c>
      <c r="B1279" s="4" t="s">
        <v>1750</v>
      </c>
      <c r="C1279" s="9" t="s">
        <v>6</v>
      </c>
      <c r="D1279" s="12" t="s">
        <v>1751</v>
      </c>
    </row>
    <row r="1280">
      <c r="A1280" s="5">
        <f>HYPERLINK("https://www.oit.va.gov/Services/TRM/ToolPage.aspx?tid=10174^","7Edit")</f>
      </c>
      <c r="B1280" s="4" t="s">
        <v>1752</v>
      </c>
      <c r="C1280" s="9" t="s">
        <v>6</v>
      </c>
      <c r="D1280" s="12" t="s">
        <v>1753</v>
      </c>
    </row>
    <row r="1281">
      <c r="A1281" s="5">
        <f>HYPERLINK("https://www.oit.va.gov/Services/TRM/ToolPage.aspx?tid=7099^","ABCpdf.NET")</f>
      </c>
      <c r="B1281" s="4" t="s">
        <v>1754</v>
      </c>
      <c r="C1281" s="9" t="s">
        <v>6</v>
      </c>
      <c r="D1281" s="12" t="s">
        <v>1755</v>
      </c>
    </row>
    <row r="1282">
      <c r="A1282" s="5">
        <f>HYPERLINK("https://www.oit.va.gov/Services/TRM/ToolPage.aspx?tid=13932^","Access Structured Query Language (SQL) Editor")</f>
      </c>
      <c r="B1282" s="4" t="s">
        <v>1756</v>
      </c>
      <c r="C1282" s="9" t="s">
        <v>6</v>
      </c>
      <c r="D1282" s="12" t="s">
        <v>1757</v>
      </c>
    </row>
    <row r="1283">
      <c r="A1283" s="5">
        <f>HYPERLINK("https://www.oit.va.gov/Services/TRM/ToolPage.aspx?tid=10953^","ActiveRoles Management Shell for Active Directory")</f>
      </c>
      <c r="B1283" s="4" t="s">
        <v>1758</v>
      </c>
      <c r="C1283" s="9" t="s">
        <v>6</v>
      </c>
      <c r="D1283" s="12" t="s">
        <v>1759</v>
      </c>
    </row>
    <row r="1284">
      <c r="A1284" s="5">
        <f>HYPERLINK("https://www.oit.va.gov/Services/TRM/ToolPage.aspx?tid=7469^","Activiti")</f>
      </c>
      <c r="B1284" s="4" t="s">
        <v>1760</v>
      </c>
      <c r="C1284" s="9" t="s">
        <v>6</v>
      </c>
      <c r="D1284" s="12" t="s">
        <v>1761</v>
      </c>
    </row>
    <row r="1285">
      <c r="A1285" s="5">
        <f>HYPERLINK("https://www.oit.va.gov/Services/TRM/ToolPage.aspx?tid=13415^","Actual Multiple Monitors")</f>
      </c>
      <c r="B1285" s="4" t="s">
        <v>1762</v>
      </c>
      <c r="C1285" s="9" t="s">
        <v>6</v>
      </c>
      <c r="D1285" s="12" t="s">
        <v>1763</v>
      </c>
    </row>
    <row r="1286">
      <c r="A1286" s="5">
        <f>HYPERLINK("https://www.oit.va.gov/Services/TRM/ToolPage.aspx?tid=13345^","Add-in Express Advanced Find and Replace for Excel")</f>
      </c>
      <c r="B1286" s="4" t="s">
        <v>231</v>
      </c>
      <c r="C1286" s="9" t="s">
        <v>6</v>
      </c>
      <c r="D1286" s="12" t="s">
        <v>1764</v>
      </c>
    </row>
    <row r="1287">
      <c r="A1287" s="5">
        <f>HYPERLINK("https://www.oit.va.gov/Services/TRM/ToolPage.aspx?tid=13511^","Add-in Express for Internet Explorer and .Net")</f>
      </c>
      <c r="B1287" s="4" t="s">
        <v>231</v>
      </c>
      <c r="C1287" s="9" t="s">
        <v>6</v>
      </c>
      <c r="D1287" s="12" t="s">
        <v>1765</v>
      </c>
    </row>
    <row r="1288">
      <c r="A1288" s="5">
        <f>HYPERLINK("https://www.oit.va.gov/Services/TRM/ToolPage.aspx?tid=8893^","Adobe Flash Player Plug-in")</f>
      </c>
      <c r="B1288" s="4" t="s">
        <v>110</v>
      </c>
      <c r="C1288" s="9" t="s">
        <v>6</v>
      </c>
      <c r="D1288" s="12" t="s">
        <v>458</v>
      </c>
    </row>
    <row r="1289">
      <c r="A1289" s="5">
        <f>HYPERLINK("https://www.oit.va.gov/Services/TRM/ToolPage.aspx?tid=7634^","Adobe Presenter")</f>
      </c>
      <c r="B1289" s="4" t="s">
        <v>110</v>
      </c>
      <c r="C1289" s="9" t="s">
        <v>6</v>
      </c>
      <c r="D1289" s="12" t="s">
        <v>1766</v>
      </c>
    </row>
    <row r="1290">
      <c r="A1290" s="5">
        <f>HYPERLINK("https://www.oit.va.gov/Services/TRM/ToolPage.aspx?tid=7506^","AgilePoint NX")</f>
      </c>
      <c r="B1290" s="4" t="s">
        <v>1767</v>
      </c>
      <c r="C1290" s="9" t="s">
        <v>6</v>
      </c>
      <c r="D1290" s="12" t="s">
        <v>1768</v>
      </c>
    </row>
    <row r="1291">
      <c r="A1291" s="5">
        <f>HYPERLINK("https://www.oit.va.gov/Services/TRM/ToolPage.aspx?tid=6455^","Alfresco Community Edition")</f>
      </c>
      <c r="B1291" s="4" t="s">
        <v>1760</v>
      </c>
      <c r="C1291" s="9" t="s">
        <v>6</v>
      </c>
      <c r="D1291" s="12" t="s">
        <v>1381</v>
      </c>
    </row>
    <row r="1292">
      <c r="A1292" s="5">
        <f>HYPERLINK("https://www.oit.va.gov/Services/TRM/ToolPage.aspx?tid=6892^","Alfresco One")</f>
      </c>
      <c r="B1292" s="4" t="s">
        <v>1760</v>
      </c>
      <c r="C1292" s="9" t="s">
        <v>6</v>
      </c>
      <c r="D1292" s="12" t="s">
        <v>1769</v>
      </c>
    </row>
    <row r="1293">
      <c r="A1293" s="5">
        <f>HYPERLINK("https://www.oit.va.gov/Services/TRM/ToolPage.aspx?tid=7244^","Alloy Discovery")</f>
      </c>
      <c r="B1293" s="4" t="s">
        <v>1770</v>
      </c>
      <c r="C1293" s="9" t="s">
        <v>6</v>
      </c>
      <c r="D1293" s="12" t="s">
        <v>1771</v>
      </c>
    </row>
    <row r="1294">
      <c r="A1294" s="5">
        <f>HYPERLINK("https://www.oit.va.gov/Services/TRM/ToolPage.aspx?tid=13300^","Analyse-It")</f>
      </c>
      <c r="B1294" s="4" t="s">
        <v>1772</v>
      </c>
      <c r="C1294" s="9" t="s">
        <v>6</v>
      </c>
      <c r="D1294" s="12" t="s">
        <v>459</v>
      </c>
    </row>
    <row r="1295">
      <c r="A1295" s="5">
        <f>HYPERLINK("https://www.oit.va.gov/Services/TRM/ToolPage.aspx?tid=11465^","Analyser Data Manager (ADM)")</f>
      </c>
      <c r="B1295" s="4" t="s">
        <v>1773</v>
      </c>
      <c r="C1295" s="9" t="s">
        <v>6</v>
      </c>
      <c r="D1295" s="12" t="s">
        <v>1774</v>
      </c>
    </row>
    <row r="1296">
      <c r="A1296" s="5">
        <f>HYPERLINK("https://www.oit.va.gov/Services/TRM/ToolPage.aspx?tid=7038^","ANSIllary SDK")</f>
      </c>
      <c r="B1296" s="4" t="s">
        <v>1775</v>
      </c>
      <c r="C1296" s="9" t="s">
        <v>6</v>
      </c>
      <c r="D1296" s="12" t="s">
        <v>1776</v>
      </c>
    </row>
    <row r="1297">
      <c r="A1297" s="5">
        <f>HYPERLINK("https://www.oit.va.gov/Services/TRM/ToolPage.aspx?tid=8045^","Ant-Contrib Tasks")</f>
      </c>
      <c r="B1297" s="4" t="s">
        <v>1777</v>
      </c>
      <c r="C1297" s="9" t="s">
        <v>6</v>
      </c>
      <c r="D1297" s="12" t="s">
        <v>1384</v>
      </c>
    </row>
    <row r="1298">
      <c r="A1298" s="5">
        <f>HYPERLINK("https://www.oit.va.gov/Services/TRM/ToolPage.aspx?tid=14949^","Antigen Plus")</f>
      </c>
      <c r="B1298" s="4" t="s">
        <v>1778</v>
      </c>
      <c r="C1298" s="9" t="s">
        <v>6</v>
      </c>
      <c r="D1298" s="12" t="s">
        <v>1779</v>
      </c>
    </row>
    <row r="1299">
      <c r="A1299" s="5">
        <f>HYPERLINK("https://www.oit.va.gov/Services/TRM/ToolPage.aspx?tid=14051^","ApexSQL Source Control")</f>
      </c>
      <c r="B1299" s="4" t="s">
        <v>363</v>
      </c>
      <c r="C1299" s="9" t="s">
        <v>6</v>
      </c>
      <c r="D1299" s="12" t="s">
        <v>1086</v>
      </c>
    </row>
    <row r="1300">
      <c r="A1300" s="5">
        <f>HYPERLINK("https://www.oit.va.gov/Services/TRM/ToolPage.aspx?tid=9017^","APHont")</f>
      </c>
      <c r="B1300" s="4" t="s">
        <v>1780</v>
      </c>
      <c r="C1300" s="9" t="s">
        <v>6</v>
      </c>
      <c r="D1300" s="12" t="s">
        <v>1781</v>
      </c>
    </row>
    <row r="1301">
      <c r="A1301" s="5">
        <f>HYPERLINK("https://www.oit.va.gov/Services/TRM/ToolPage.aspx?tid=13518^","Apple Boot Camp")</f>
      </c>
      <c r="B1301" s="4" t="s">
        <v>1782</v>
      </c>
      <c r="C1301" s="9" t="s">
        <v>6</v>
      </c>
      <c r="D1301" s="12" t="s">
        <v>1783</v>
      </c>
    </row>
    <row r="1302">
      <c r="A1302" s="5">
        <f>HYPERLINK("https://www.oit.va.gov/Services/TRM/ToolPage.aspx?tid=10154^","ArcGIS Maps for Office")</f>
      </c>
      <c r="B1302" s="4" t="s">
        <v>1640</v>
      </c>
      <c r="C1302" s="9" t="s">
        <v>6</v>
      </c>
      <c r="D1302" s="12" t="s">
        <v>1675</v>
      </c>
    </row>
    <row r="1303">
      <c r="A1303" s="5">
        <f>HYPERLINK("https://www.oit.va.gov/Services/TRM/ToolPage.aspx?tid=7430^","Arena Simulation")</f>
      </c>
      <c r="B1303" s="4" t="s">
        <v>1784</v>
      </c>
      <c r="C1303" s="9" t="s">
        <v>6</v>
      </c>
      <c r="D1303" s="12" t="s">
        <v>1785</v>
      </c>
    </row>
    <row r="1304">
      <c r="A1304" s="5">
        <f>HYPERLINK("https://www.oit.va.gov/Services/TRM/ToolPage.aspx?tid=8002^","ASAP (As Soon As Possible) Utilities for Excel")</f>
      </c>
      <c r="B1304" s="4" t="s">
        <v>1786</v>
      </c>
      <c r="C1304" s="9" t="s">
        <v>6</v>
      </c>
      <c r="D1304" s="12" t="s">
        <v>1675</v>
      </c>
    </row>
    <row r="1305">
      <c r="A1305" s="5">
        <f>HYPERLINK("https://www.oit.va.gov/Services/TRM/ToolPage.aspx?tid=11169^","Ascom Report Manager")</f>
      </c>
      <c r="B1305" s="4" t="s">
        <v>798</v>
      </c>
      <c r="C1305" s="9" t="s">
        <v>6</v>
      </c>
      <c r="D1305" s="12" t="s">
        <v>1787</v>
      </c>
    </row>
    <row r="1306">
      <c r="A1306" s="5">
        <f>HYPERLINK("https://www.oit.va.gov/Services/TRM/ToolPage.aspx?tid=7720^","Aspose.Cells for Java")</f>
      </c>
      <c r="B1306" s="4" t="s">
        <v>368</v>
      </c>
      <c r="C1306" s="9" t="s">
        <v>6</v>
      </c>
      <c r="D1306" s="12" t="s">
        <v>1788</v>
      </c>
    </row>
    <row r="1307">
      <c r="A1307" s="5">
        <f>HYPERLINK("https://www.oit.va.gov/Services/TRM/ToolPage.aspx?tid=16140^","Aspose.Portable Document Format (Aspose.PDF) for .NET")</f>
      </c>
      <c r="B1307" s="4" t="s">
        <v>368</v>
      </c>
      <c r="C1307" s="9" t="s">
        <v>6</v>
      </c>
      <c r="D1307" s="12" t="s">
        <v>1789</v>
      </c>
    </row>
    <row r="1308">
      <c r="A1308" s="5">
        <f>HYPERLINK("https://www.oit.va.gov/Services/TRM/ToolPage.aspx?tid=11530^","Assign Sequencing Based Typing (SBT)")</f>
      </c>
      <c r="B1308" s="4" t="s">
        <v>1790</v>
      </c>
      <c r="C1308" s="9" t="s">
        <v>6</v>
      </c>
      <c r="D1308" s="12" t="s">
        <v>959</v>
      </c>
    </row>
    <row r="1309">
      <c r="A1309" s="5">
        <f>HYPERLINK("https://www.oit.va.gov/Services/TRM/ToolPage.aspx?tid=13926^","Asure ID 7 Photo ID Card Software")</f>
      </c>
      <c r="B1309" s="4" t="s">
        <v>1791</v>
      </c>
      <c r="C1309" s="9" t="s">
        <v>6</v>
      </c>
      <c r="D1309" s="12" t="s">
        <v>1792</v>
      </c>
    </row>
    <row r="1310">
      <c r="A1310" s="5">
        <f>HYPERLINK("https://www.oit.va.gov/Services/TRM/ToolPage.aspx?tid=13765^","ATMOS Diagnostic World")</f>
      </c>
      <c r="B1310" s="4" t="s">
        <v>1793</v>
      </c>
      <c r="C1310" s="9" t="s">
        <v>6</v>
      </c>
      <c r="D1310" s="12" t="s">
        <v>1794</v>
      </c>
    </row>
    <row r="1311">
      <c r="A1311" s="5">
        <f>HYPERLINK("https://www.oit.va.gov/Services/TRM/ToolPage.aspx?tid=13241^","Attachment Save")</f>
      </c>
      <c r="B1311" s="4" t="s">
        <v>419</v>
      </c>
      <c r="C1311" s="9" t="s">
        <v>6</v>
      </c>
      <c r="D1311" s="12" t="s">
        <v>1795</v>
      </c>
    </row>
    <row r="1312">
      <c r="A1312" s="5">
        <f>HYPERLINK("https://www.oit.va.gov/Services/TRM/ToolPage.aspx?tid=11216^","Audia Dichotic Testing Software")</f>
      </c>
      <c r="B1312" s="4" t="s">
        <v>1796</v>
      </c>
      <c r="C1312" s="9" t="s">
        <v>6</v>
      </c>
      <c r="D1312" s="12" t="s">
        <v>1797</v>
      </c>
    </row>
    <row r="1313">
      <c r="A1313" s="5">
        <f>HYPERLINK("https://www.oit.va.gov/Services/TRM/ToolPage.aspx?tid=12927^","Auto Internet Explorer (IE) Refresher")</f>
      </c>
      <c r="B1313" s="4" t="s">
        <v>1798</v>
      </c>
      <c r="C1313" s="9" t="s">
        <v>6</v>
      </c>
      <c r="D1313" s="12" t="s">
        <v>1799</v>
      </c>
    </row>
    <row r="1314">
      <c r="A1314" s="5">
        <f>HYPERLINK("https://www.oit.va.gov/Services/TRM/ToolPage.aspx?tid=13531^","Autodesk Access")</f>
      </c>
      <c r="B1314" s="4" t="s">
        <v>1800</v>
      </c>
      <c r="C1314" s="9" t="s">
        <v>6</v>
      </c>
      <c r="D1314" s="12" t="s">
        <v>1801</v>
      </c>
    </row>
    <row r="1315">
      <c r="A1315" s="5">
        <f>HYPERLINK("https://www.oit.va.gov/Services/TRM/ToolPage.aspx?tid=6575^","Autofac")</f>
      </c>
      <c r="B1315" s="4" t="s">
        <v>1802</v>
      </c>
      <c r="C1315" s="9" t="s">
        <v>6</v>
      </c>
      <c r="D1315" s="12" t="s">
        <v>1794</v>
      </c>
    </row>
    <row r="1316">
      <c r="A1316" s="5">
        <f>HYPERLINK("https://www.oit.va.gov/Services/TRM/ToolPage.aspx?tid=14035^","Avaya Interaction Data Server")</f>
      </c>
      <c r="B1316" s="4" t="s">
        <v>1803</v>
      </c>
      <c r="C1316" s="9" t="s">
        <v>6</v>
      </c>
      <c r="D1316" s="12" t="s">
        <v>1804</v>
      </c>
    </row>
    <row r="1317">
      <c r="A1317" s="5">
        <f>HYPERLINK("https://www.oit.va.gov/Services/TRM/ToolPage.aspx?tid=11009^","Ax Python-enhanced Molecular graphics tool (AxPyMOL)")</f>
      </c>
      <c r="B1317" s="4" t="s">
        <v>1805</v>
      </c>
      <c r="C1317" s="9" t="s">
        <v>6</v>
      </c>
      <c r="D1317" s="12" t="s">
        <v>1761</v>
      </c>
    </row>
    <row r="1318">
      <c r="A1318" s="5">
        <f>HYPERLINK("https://www.oit.va.gov/Services/TRM/ToolPage.aspx?tid=11571^","Axis Image Management Software")</f>
      </c>
      <c r="B1318" s="4" t="s">
        <v>1806</v>
      </c>
      <c r="C1318" s="9" t="s">
        <v>6</v>
      </c>
      <c r="D1318" s="12" t="s">
        <v>1807</v>
      </c>
    </row>
    <row r="1319">
      <c r="A1319" s="5">
        <f>HYPERLINK("https://www.oit.va.gov/Services/TRM/ToolPage.aspx?tid=13164^","Barcode Maker")</f>
      </c>
      <c r="B1319" s="4" t="s">
        <v>1157</v>
      </c>
      <c r="C1319" s="9" t="s">
        <v>6</v>
      </c>
      <c r="D1319" s="12" t="s">
        <v>1808</v>
      </c>
    </row>
    <row r="1320">
      <c r="A1320" s="5">
        <f>HYPERLINK("https://www.oit.va.gov/Services/TRM/ToolPage.aspx?tid=15916^","BCC Bulk Mailer Business")</f>
      </c>
      <c r="B1320" s="4" t="s">
        <v>1809</v>
      </c>
      <c r="C1320" s="9" t="s">
        <v>6</v>
      </c>
      <c r="D1320" s="12" t="s">
        <v>1810</v>
      </c>
    </row>
    <row r="1321">
      <c r="A1321" s="5">
        <f>HYPERLINK("https://www.oit.va.gov/Services/TRM/ToolPage.aspx?tid=11558^","Benjamin Rose Institute on Aging (BRI) Care Consultation Information System (CCIS)")</f>
      </c>
      <c r="B1321" s="4" t="s">
        <v>1811</v>
      </c>
      <c r="C1321" s="9" t="s">
        <v>6</v>
      </c>
      <c r="D1321" s="12" t="s">
        <v>1812</v>
      </c>
    </row>
    <row r="1322">
      <c r="A1322" s="5">
        <f>HYPERLINK("https://www.oit.va.gov/Services/TRM/ToolPage.aspx?tid=13035^","BinMaker Pro")</f>
      </c>
      <c r="B1322" s="4" t="s">
        <v>1813</v>
      </c>
      <c r="C1322" s="9" t="s">
        <v>6</v>
      </c>
      <c r="D1322" s="12" t="s">
        <v>1814</v>
      </c>
    </row>
    <row r="1323">
      <c r="A1323" s="5">
        <f>HYPERLINK("https://www.oit.va.gov/Services/TRM/ToolPage.aspx?tid=7802^","BioGraph Infiniti Software")</f>
      </c>
      <c r="B1323" s="4" t="s">
        <v>1815</v>
      </c>
      <c r="C1323" s="9" t="s">
        <v>6</v>
      </c>
      <c r="D1323" s="12" t="s">
        <v>196</v>
      </c>
    </row>
    <row r="1324">
      <c r="A1324" s="5">
        <f>HYPERLINK("https://www.oit.va.gov/Services/TRM/ToolPage.aspx?tid=11148^","BioNumerics")</f>
      </c>
      <c r="B1324" s="4" t="s">
        <v>1816</v>
      </c>
      <c r="C1324" s="9" t="s">
        <v>6</v>
      </c>
      <c r="D1324" s="12" t="s">
        <v>1817</v>
      </c>
    </row>
    <row r="1325">
      <c r="A1325" s="5">
        <f>HYPERLINK("https://www.oit.va.gov/Services/TRM/ToolPage.aspx?tid=10981^","Biopoint Treatment Scheduler")</f>
      </c>
      <c r="B1325" s="4" t="s">
        <v>1818</v>
      </c>
      <c r="C1325" s="9" t="s">
        <v>6</v>
      </c>
      <c r="D1325" s="12" t="s">
        <v>1819</v>
      </c>
    </row>
    <row r="1326">
      <c r="A1326" s="5">
        <f>HYPERLINK("https://www.oit.va.gov/Services/TRM/ToolPage.aspx?tid=7930^","Blueforce Command Center")</f>
      </c>
      <c r="B1326" s="4" t="s">
        <v>1820</v>
      </c>
      <c r="C1326" s="9" t="s">
        <v>6</v>
      </c>
      <c r="D1326" s="12" t="s">
        <v>1821</v>
      </c>
    </row>
    <row r="1327">
      <c r="A1327" s="5">
        <f>HYPERLINK("https://www.oit.va.gov/Services/TRM/ToolPage.aspx?tid=9247^","BlueJeans Browser Extension")</f>
      </c>
      <c r="B1327" s="4" t="s">
        <v>1822</v>
      </c>
      <c r="C1327" s="9" t="s">
        <v>6</v>
      </c>
      <c r="D1327" s="12" t="s">
        <v>1823</v>
      </c>
    </row>
    <row r="1328">
      <c r="A1328" s="5">
        <f>HYPERLINK("https://www.oit.va.gov/Services/TRM/ToolPage.aspx?tid=10610^","Bodystudio Automated Total Body Mapping (ATBM) System")</f>
      </c>
      <c r="B1328" s="4" t="s">
        <v>1824</v>
      </c>
      <c r="C1328" s="9" t="s">
        <v>6</v>
      </c>
      <c r="D1328" s="12" t="s">
        <v>1825</v>
      </c>
    </row>
    <row r="1329">
      <c r="A1329" s="5">
        <f>HYPERLINK("https://www.oit.va.gov/Services/TRM/ToolPage.aspx?tid=7153^","Bonita Business Process Modeling (BPM)")</f>
      </c>
      <c r="B1329" s="4" t="s">
        <v>1826</v>
      </c>
      <c r="C1329" s="9" t="s">
        <v>6</v>
      </c>
      <c r="D1329" s="12" t="s">
        <v>1827</v>
      </c>
    </row>
    <row r="1330">
      <c r="A1330" s="5">
        <f>HYPERLINK("https://www.oit.va.gov/Services/TRM/ToolPage.aspx?tid=11127^","Borland Database Engine")</f>
      </c>
      <c r="B1330" s="4" t="s">
        <v>1828</v>
      </c>
      <c r="C1330" s="9" t="s">
        <v>6</v>
      </c>
      <c r="D1330" s="12" t="s">
        <v>1829</v>
      </c>
    </row>
    <row r="1331">
      <c r="A1331" s="5">
        <f>HYPERLINK("https://www.oit.va.gov/Services/TRM/ToolPage.aspx?tid=10450^","Box Operator")</f>
      </c>
      <c r="B1331" s="4" t="s">
        <v>1830</v>
      </c>
      <c r="C1331" s="9" t="s">
        <v>6</v>
      </c>
      <c r="D1331" s="12" t="s">
        <v>1831</v>
      </c>
    </row>
    <row r="1332">
      <c r="A1332" s="5">
        <f>HYPERLINK("https://www.oit.va.gov/Services/TRM/ToolPage.aspx?tid=14771^","Brava Enterprise")</f>
      </c>
      <c r="B1332" s="4" t="s">
        <v>1314</v>
      </c>
      <c r="C1332" s="9" t="s">
        <v>6</v>
      </c>
      <c r="D1332" s="12" t="s">
        <v>1832</v>
      </c>
    </row>
    <row r="1333">
      <c r="A1333" s="5">
        <f>HYPERLINK("https://www.oit.va.gov/Services/TRM/ToolPage.aspx?tid=10882^","Bulk Mailer")</f>
      </c>
      <c r="B1333" s="4" t="s">
        <v>1833</v>
      </c>
      <c r="C1333" s="9" t="s">
        <v>6</v>
      </c>
      <c r="D1333" s="12" t="s">
        <v>1834</v>
      </c>
    </row>
    <row r="1334">
      <c r="A1334" s="5">
        <f>HYPERLINK("https://www.oit.va.gov/Services/TRM/ToolPage.aspx?tid=5586^","Bullzip Portable Document Format (PDF) Printer")</f>
      </c>
      <c r="B1334" s="4" t="s">
        <v>1835</v>
      </c>
      <c r="C1334" s="9" t="s">
        <v>6</v>
      </c>
      <c r="D1334" s="12" t="s">
        <v>1836</v>
      </c>
    </row>
    <row r="1335">
      <c r="A1335" s="5">
        <f>HYPERLINK("https://www.oit.va.gov/Services/TRM/ToolPage.aspx?tid=6387^","Cache Zen")</f>
      </c>
      <c r="B1335" s="4" t="s">
        <v>1155</v>
      </c>
      <c r="C1335" s="9" t="s">
        <v>6</v>
      </c>
      <c r="D1335" s="12" t="s">
        <v>1837</v>
      </c>
    </row>
    <row r="1336">
      <c r="A1336" s="5">
        <f>HYPERLINK("https://www.oit.va.gov/Services/TRM/ToolPage.aspx?tid=8116^","CancerGene")</f>
      </c>
      <c r="B1336" s="4" t="s">
        <v>1838</v>
      </c>
      <c r="C1336" s="9" t="s">
        <v>6</v>
      </c>
      <c r="D1336" s="12" t="s">
        <v>1839</v>
      </c>
    </row>
    <row r="1337">
      <c r="A1337" s="5">
        <f>HYPERLINK("https://www.oit.va.gov/Services/TRM/ToolPage.aspx?tid=8616^","Capsule Medical Device Information System (MDIS)")</f>
      </c>
      <c r="B1337" s="4" t="s">
        <v>1840</v>
      </c>
      <c r="C1337" s="9" t="s">
        <v>6</v>
      </c>
      <c r="D1337" s="12" t="s">
        <v>1804</v>
      </c>
    </row>
    <row r="1338">
      <c r="A1338" s="5">
        <f>HYPERLINK("https://www.oit.va.gov/Services/TRM/ToolPage.aspx?tid=7092^","CardioPerfect WorkStation")</f>
      </c>
      <c r="B1338" s="4" t="s">
        <v>1841</v>
      </c>
      <c r="C1338" s="9" t="s">
        <v>6</v>
      </c>
      <c r="D1338" s="12" t="s">
        <v>1842</v>
      </c>
    </row>
    <row r="1339">
      <c r="A1339" s="5">
        <f>HYPERLINK("https://www.oit.va.gov/Services/TRM/ToolPage.aspx?tid=10219^","CARE Analytics")</f>
      </c>
      <c r="B1339" s="4" t="s">
        <v>1422</v>
      </c>
      <c r="C1339" s="9" t="s">
        <v>6</v>
      </c>
      <c r="D1339" s="12" t="s">
        <v>1785</v>
      </c>
    </row>
    <row r="1340">
      <c r="A1340" s="5">
        <f>HYPERLINK("https://www.oit.va.gov/Services/TRM/ToolPage.aspx?tid=9020^","CareCenter MD")</f>
      </c>
      <c r="B1340" s="4" t="s">
        <v>925</v>
      </c>
      <c r="C1340" s="9" t="s">
        <v>6</v>
      </c>
      <c r="D1340" s="12" t="s">
        <v>1825</v>
      </c>
    </row>
    <row r="1341">
      <c r="A1341" s="5">
        <f>HYPERLINK("https://www.oit.va.gov/Services/TRM/ToolPage.aspx?tid=8691^","CartWatch Remote Management System (RMS)")</f>
      </c>
      <c r="B1341" s="4" t="s">
        <v>1843</v>
      </c>
      <c r="C1341" s="9" t="s">
        <v>6</v>
      </c>
      <c r="D1341" s="12" t="s">
        <v>1844</v>
      </c>
    </row>
    <row r="1342">
      <c r="A1342" s="5">
        <f>HYPERLINK("https://www.oit.va.gov/Services/TRM/ToolPage.aspx?tid=13749^","Centricity Radiology Information System (RIS)-IC")</f>
      </c>
      <c r="B1342" s="4" t="s">
        <v>874</v>
      </c>
      <c r="C1342" s="9" t="s">
        <v>6</v>
      </c>
      <c r="D1342" s="12" t="s">
        <v>1804</v>
      </c>
    </row>
    <row r="1343">
      <c r="A1343" s="5">
        <f>HYPERLINK("https://www.oit.va.gov/Services/TRM/ToolPage.aspx?tid=11336^","ChartID")</f>
      </c>
      <c r="B1343" s="4" t="s">
        <v>882</v>
      </c>
      <c r="C1343" s="9" t="s">
        <v>6</v>
      </c>
      <c r="D1343" s="12" t="s">
        <v>1845</v>
      </c>
    </row>
    <row r="1344">
      <c r="A1344" s="5">
        <f>HYPERLINK("https://www.oit.va.gov/Services/TRM/ToolPage.aspx?tid=8676^","ChartReview")</f>
      </c>
      <c r="B1344" s="4" t="s">
        <v>1846</v>
      </c>
      <c r="C1344" s="9" t="s">
        <v>6</v>
      </c>
      <c r="D1344" s="12" t="s">
        <v>264</v>
      </c>
    </row>
    <row r="1345">
      <c r="A1345" s="5">
        <f>HYPERLINK("https://www.oit.va.gov/Services/TRM/ToolPage.aspx?tid=11238^","ChartScript Platform")</f>
      </c>
      <c r="B1345" s="4" t="s">
        <v>882</v>
      </c>
      <c r="C1345" s="9" t="s">
        <v>6</v>
      </c>
      <c r="D1345" s="12" t="s">
        <v>1847</v>
      </c>
    </row>
    <row r="1346">
      <c r="A1346" s="5">
        <f>HYPERLINK("https://www.oit.va.gov/Services/TRM/ToolPage.aspx?tid=8666^","Cisco Call Handler Data Dump")</f>
      </c>
      <c r="B1346" s="4" t="s">
        <v>353</v>
      </c>
      <c r="C1346" s="9" t="s">
        <v>6</v>
      </c>
      <c r="D1346" s="12" t="s">
        <v>1848</v>
      </c>
    </row>
    <row r="1347">
      <c r="A1347" s="5">
        <f>HYPERLINK("https://www.oit.va.gov/Services/TRM/ToolPage.aspx?tid=13888^","Classic Menu")</f>
      </c>
      <c r="B1347" s="4" t="s">
        <v>1849</v>
      </c>
      <c r="C1347" s="9" t="s">
        <v>6</v>
      </c>
      <c r="D1347" s="12" t="s">
        <v>1850</v>
      </c>
    </row>
    <row r="1348">
      <c r="A1348" s="5">
        <f>HYPERLINK("https://www.oit.va.gov/Services/TRM/ToolPage.aspx?tid=6513^","Clean-Trace Data Trending Software")</f>
      </c>
      <c r="B1348" s="4" t="s">
        <v>892</v>
      </c>
      <c r="C1348" s="9" t="s">
        <v>6</v>
      </c>
      <c r="D1348" s="12" t="s">
        <v>901</v>
      </c>
    </row>
    <row r="1349">
      <c r="A1349" s="5">
        <f>HYPERLINK("https://www.oit.va.gov/Services/TRM/ToolPage.aspx?tid=11771^","Clinical Outcomes Research Initiative (CORI) Endoscopic Reporting Software")</f>
      </c>
      <c r="B1349" s="4" t="s">
        <v>897</v>
      </c>
      <c r="C1349" s="9" t="s">
        <v>6</v>
      </c>
      <c r="D1349" s="12" t="s">
        <v>1851</v>
      </c>
    </row>
    <row r="1350">
      <c r="A1350" s="5">
        <f>HYPERLINK("https://www.oit.va.gov/Services/TRM/ToolPage.aspx?tid=14126^","Clintrak Imaging")</f>
      </c>
      <c r="B1350" s="4" t="s">
        <v>1852</v>
      </c>
      <c r="C1350" s="9" t="s">
        <v>6</v>
      </c>
      <c r="D1350" s="12" t="s">
        <v>830</v>
      </c>
    </row>
    <row r="1351">
      <c r="A1351" s="5">
        <f>HYPERLINK("https://www.oit.va.gov/Services/TRM/ToolPage.aspx?tid=11773^","Closed Extensible Markup Language (ClosedXML) Nuget Package")</f>
      </c>
      <c r="B1351" s="4" t="s">
        <v>1853</v>
      </c>
      <c r="C1351" s="9" t="s">
        <v>6</v>
      </c>
      <c r="D1351" s="12" t="s">
        <v>1854</v>
      </c>
    </row>
    <row r="1352">
      <c r="A1352" s="5">
        <f>HYPERLINK("https://www.oit.va.gov/Services/TRM/ToolPage.aspx?tid=11774^","Closed Extensible Markup Language (XML).Extensions. Model View Controller (MVC) Nuget Package")</f>
      </c>
      <c r="B1352" s="4" t="s">
        <v>1853</v>
      </c>
      <c r="C1352" s="9" t="s">
        <v>6</v>
      </c>
      <c r="D1352" s="12" t="s">
        <v>535</v>
      </c>
    </row>
    <row r="1353">
      <c r="A1353" s="5">
        <f>HYPERLINK("https://www.oit.va.gov/Services/TRM/ToolPage.aspx?tid=11758^","ClosedXML.Extensions.AspNet Nuget Package")</f>
      </c>
      <c r="B1353" s="4" t="s">
        <v>1853</v>
      </c>
      <c r="C1353" s="9" t="s">
        <v>6</v>
      </c>
      <c r="D1353" s="12" t="s">
        <v>1855</v>
      </c>
    </row>
    <row r="1354">
      <c r="A1354" s="5">
        <f>HYPERLINK("https://www.oit.va.gov/Services/TRM/ToolPage.aspx?tid=10224^","COATSsql (Structured Query Language) Staffing Software")</f>
      </c>
      <c r="B1354" s="4" t="s">
        <v>1856</v>
      </c>
      <c r="C1354" s="9" t="s">
        <v>6</v>
      </c>
      <c r="D1354" s="12" t="s">
        <v>128</v>
      </c>
    </row>
    <row r="1355">
      <c r="A1355" s="5">
        <f>HYPERLINK("https://www.oit.va.gov/Services/TRM/ToolPage.aspx?tid=11250^","Cobas Blood Gas and Electrolyte (BGE) Link")</f>
      </c>
      <c r="B1355" s="4" t="s">
        <v>738</v>
      </c>
      <c r="C1355" s="9" t="s">
        <v>6</v>
      </c>
      <c r="D1355" s="12" t="s">
        <v>1857</v>
      </c>
    </row>
    <row r="1356">
      <c r="A1356" s="5">
        <f>HYPERLINK("https://www.oit.va.gov/Services/TRM/ToolPage.aspx?tid=10182^","Cobas IT 1000")</f>
      </c>
      <c r="B1356" s="4" t="s">
        <v>738</v>
      </c>
      <c r="C1356" s="9" t="s">
        <v>6</v>
      </c>
      <c r="D1356" s="12" t="s">
        <v>333</v>
      </c>
    </row>
    <row r="1357">
      <c r="A1357" s="5">
        <f>HYPERLINK("https://www.oit.va.gov/Services/TRM/ToolPage.aspx?tid=16440^","CodeRush")</f>
      </c>
      <c r="B1357" s="4" t="s">
        <v>744</v>
      </c>
      <c r="C1357" s="9" t="s">
        <v>6</v>
      </c>
      <c r="D1357" s="12" t="s">
        <v>1858</v>
      </c>
    </row>
    <row r="1358">
      <c r="A1358" s="5">
        <f>HYPERLINK("https://www.oit.va.gov/Services/TRM/ToolPage.aspx?tid=7525^","Coding Pro")</f>
      </c>
      <c r="B1358" s="4" t="s">
        <v>1859</v>
      </c>
      <c r="C1358" s="9" t="s">
        <v>6</v>
      </c>
      <c r="D1358" s="12" t="s">
        <v>1860</v>
      </c>
    </row>
    <row r="1359">
      <c r="A1359" s="5">
        <f>HYPERLINK("https://www.oit.va.gov/Services/TRM/ToolPage.aspx?tid=11640^","Colectica Designer")</f>
      </c>
      <c r="B1359" s="4" t="s">
        <v>1861</v>
      </c>
      <c r="C1359" s="9" t="s">
        <v>6</v>
      </c>
      <c r="D1359" s="12" t="s">
        <v>1862</v>
      </c>
    </row>
    <row r="1360">
      <c r="A1360" s="5">
        <f>HYPERLINK("https://www.oit.va.gov/Services/TRM/ToolPage.aspx?tid=11641^","Colectica Portal")</f>
      </c>
      <c r="B1360" s="4" t="s">
        <v>1861</v>
      </c>
      <c r="C1360" s="9" t="s">
        <v>6</v>
      </c>
      <c r="D1360" s="12" t="s">
        <v>1863</v>
      </c>
    </row>
    <row r="1361">
      <c r="A1361" s="5">
        <f>HYPERLINK("https://www.oit.va.gov/Services/TRM/ToolPage.aspx?tid=11642^","Colectica Repository")</f>
      </c>
      <c r="B1361" s="4" t="s">
        <v>1861</v>
      </c>
      <c r="C1361" s="9" t="s">
        <v>6</v>
      </c>
      <c r="D1361" s="12" t="s">
        <v>1862</v>
      </c>
    </row>
    <row r="1362">
      <c r="A1362" s="5">
        <f>HYPERLINK("https://www.oit.va.gov/Services/TRM/ToolPage.aspx?tid=10942^","Collection Commander")</f>
      </c>
      <c r="B1362" s="4" t="s">
        <v>1864</v>
      </c>
      <c r="C1362" s="9" t="s">
        <v>6</v>
      </c>
      <c r="D1362" s="12" t="s">
        <v>1865</v>
      </c>
    </row>
    <row r="1363">
      <c r="A1363" s="5">
        <f>HYPERLINK("https://www.oit.va.gov/Services/TRM/ToolPage.aspx?tid=10440^","Com4j")</f>
      </c>
      <c r="B1363" s="4" t="s">
        <v>1866</v>
      </c>
      <c r="C1363" s="9" t="s">
        <v>6</v>
      </c>
      <c r="D1363" s="12" t="s">
        <v>1867</v>
      </c>
    </row>
    <row r="1364">
      <c r="A1364" s="5">
        <f>HYPERLINK("https://www.oit.va.gov/Services/TRM/ToolPage.aspx?tid=10169^","Common Business Oriented Language (COBOL) Server")</f>
      </c>
      <c r="B1364" s="4" t="s">
        <v>1411</v>
      </c>
      <c r="C1364" s="9" t="s">
        <v>6</v>
      </c>
      <c r="D1364" s="12" t="s">
        <v>1868</v>
      </c>
    </row>
    <row r="1365">
      <c r="A1365" s="5">
        <f>HYPERLINK("https://www.oit.va.gov/Services/TRM/ToolPage.aspx?tid=13937^","Community Referral Network (CRN)")</f>
      </c>
      <c r="B1365" s="4" t="s">
        <v>1869</v>
      </c>
      <c r="C1365" s="9" t="s">
        <v>6</v>
      </c>
      <c r="D1365" s="12" t="s">
        <v>1870</v>
      </c>
    </row>
    <row r="1366">
      <c r="A1366" s="5">
        <f>HYPERLINK("https://www.oit.va.gov/Services/TRM/ToolPage.aspx?tid=14286^","Compare It")</f>
      </c>
      <c r="B1366" s="4" t="s">
        <v>1871</v>
      </c>
      <c r="C1366" s="9" t="s">
        <v>6</v>
      </c>
      <c r="D1366" s="12" t="s">
        <v>1872</v>
      </c>
    </row>
    <row r="1367">
      <c r="A1367" s="5">
        <f>HYPERLINK("https://www.oit.va.gov/Services/TRM/ToolPage.aspx?tid=10929^","CompileSass")</f>
      </c>
      <c r="B1367" s="4" t="s">
        <v>1873</v>
      </c>
      <c r="C1367" s="9" t="s">
        <v>6</v>
      </c>
      <c r="D1367" s="12" t="s">
        <v>1831</v>
      </c>
    </row>
    <row r="1368">
      <c r="A1368" s="5">
        <f>HYPERLINK("https://www.oit.va.gov/Services/TRM/ToolPage.aspx?tid=193^","ComponentSoftware Diff (CSDiff)")</f>
      </c>
      <c r="B1368" s="4" t="s">
        <v>1874</v>
      </c>
      <c r="C1368" s="9" t="s">
        <v>6</v>
      </c>
      <c r="D1368" s="12" t="s">
        <v>1875</v>
      </c>
    </row>
    <row r="1369">
      <c r="A1369" s="5">
        <f>HYPERLINK("https://www.oit.va.gov/Services/TRM/ToolPage.aspx?tid=10813^","Computer Assisted Credentials Tracking and Update System (CACTUS)")</f>
      </c>
      <c r="B1369" s="4" t="s">
        <v>1876</v>
      </c>
      <c r="C1369" s="9" t="s">
        <v>6</v>
      </c>
      <c r="D1369" s="12" t="s">
        <v>1831</v>
      </c>
    </row>
    <row r="1370">
      <c r="A1370" s="5">
        <f>HYPERLINK("https://www.oit.va.gov/Services/TRM/ToolPage.aspx?tid=13325^","Computerized Test of Information Processing (CTIP)")</f>
      </c>
      <c r="B1370" s="4" t="s">
        <v>1877</v>
      </c>
      <c r="C1370" s="9" t="s">
        <v>6</v>
      </c>
      <c r="D1370" s="12" t="s">
        <v>1878</v>
      </c>
    </row>
    <row r="1371">
      <c r="A1371" s="5">
        <f>HYPERLINK("https://www.oit.va.gov/Services/TRM/ToolPage.aspx?tid=11060^","Configuration Transform")</f>
      </c>
      <c r="B1371" s="4" t="s">
        <v>627</v>
      </c>
      <c r="C1371" s="9" t="s">
        <v>6</v>
      </c>
      <c r="D1371" s="12" t="s">
        <v>1879</v>
      </c>
    </row>
    <row r="1372">
      <c r="A1372" s="5">
        <f>HYPERLINK("https://www.oit.va.gov/Services/TRM/ToolPage.aspx?tid=8220^","CONFORMat")</f>
      </c>
      <c r="B1372" s="4" t="s">
        <v>1880</v>
      </c>
      <c r="C1372" s="9" t="s">
        <v>6</v>
      </c>
      <c r="D1372" s="12" t="s">
        <v>1881</v>
      </c>
    </row>
    <row r="1373">
      <c r="A1373" s="5">
        <f>HYPERLINK("https://www.oit.va.gov/Services/TRM/ToolPage.aspx?tid=13617^","Couchbase Server Enterprise Edition")</f>
      </c>
      <c r="B1373" s="4" t="s">
        <v>1882</v>
      </c>
      <c r="C1373" s="9" t="s">
        <v>6</v>
      </c>
      <c r="D1373" s="12" t="s">
        <v>1883</v>
      </c>
    </row>
    <row r="1374">
      <c r="A1374" s="5">
        <f>HYPERLINK("https://www.oit.va.gov/Services/TRM/ToolPage.aspx?tid=9491^","Curry Acquisition")</f>
      </c>
      <c r="B1374" s="4" t="s">
        <v>946</v>
      </c>
      <c r="C1374" s="9" t="s">
        <v>6</v>
      </c>
      <c r="D1374" s="12" t="s">
        <v>1884</v>
      </c>
    </row>
    <row r="1375">
      <c r="A1375" s="5">
        <f>HYPERLINK("https://www.oit.va.gov/Services/TRM/ToolPage.aspx?tid=9518^","Curry Advanced Source")</f>
      </c>
      <c r="B1375" s="4" t="s">
        <v>946</v>
      </c>
      <c r="C1375" s="9" t="s">
        <v>6</v>
      </c>
      <c r="D1375" s="12" t="s">
        <v>1885</v>
      </c>
    </row>
    <row r="1376">
      <c r="A1376" s="5">
        <f>HYPERLINK("https://www.oit.va.gov/Services/TRM/ToolPage.aspx?tid=9503^","Curry Source Analysis")</f>
      </c>
      <c r="B1376" s="4" t="s">
        <v>946</v>
      </c>
      <c r="C1376" s="9" t="s">
        <v>6</v>
      </c>
      <c r="D1376" s="12" t="s">
        <v>947</v>
      </c>
    </row>
    <row r="1377">
      <c r="A1377" s="5">
        <f>HYPERLINK("https://www.oit.va.gov/Services/TRM/ToolPage.aspx?tid=8092^","CyberCare Interactive Voice Response (IVR)")</f>
      </c>
      <c r="B1377" s="4" t="s">
        <v>1886</v>
      </c>
      <c r="C1377" s="9" t="s">
        <v>6</v>
      </c>
      <c r="D1377" s="12" t="s">
        <v>1887</v>
      </c>
    </row>
    <row r="1378">
      <c r="A1378" s="5">
        <f>HYPERLINK("https://www.oit.va.gov/Services/TRM/ToolPage.aspx?tid=14751^","Cyberduck")</f>
      </c>
      <c r="B1378" s="4" t="s">
        <v>1888</v>
      </c>
      <c r="C1378" s="9" t="s">
        <v>6</v>
      </c>
      <c r="D1378" s="12" t="s">
        <v>1889</v>
      </c>
    </row>
    <row r="1379">
      <c r="A1379" s="5">
        <f>HYPERLINK("https://www.oit.va.gov/Services/TRM/ToolPage.aspx?tid=6447^","Cygwin")</f>
      </c>
      <c r="B1379" s="4" t="s">
        <v>1167</v>
      </c>
      <c r="C1379" s="9" t="s">
        <v>6</v>
      </c>
      <c r="D1379" s="12" t="s">
        <v>1890</v>
      </c>
    </row>
    <row r="1380">
      <c r="A1380" s="5">
        <f>HYPERLINK("https://www.oit.va.gov/Services/TRM/ToolPage.aspx?tid=5600^","DameWare Mini Remote Control (DMRC)")</f>
      </c>
      <c r="B1380" s="4" t="s">
        <v>1891</v>
      </c>
      <c r="C1380" s="9" t="s">
        <v>6</v>
      </c>
      <c r="D1380" s="12" t="s">
        <v>1892</v>
      </c>
    </row>
    <row r="1381">
      <c r="A1381" s="5">
        <f>HYPERLINK("https://www.oit.va.gov/Services/TRM/ToolPage.aspx?tid=8099^","Data Access")</f>
      </c>
      <c r="B1381" s="4" t="s">
        <v>241</v>
      </c>
      <c r="C1381" s="9" t="s">
        <v>6</v>
      </c>
      <c r="D1381" s="12" t="s">
        <v>1893</v>
      </c>
    </row>
    <row r="1382">
      <c r="A1382" s="5">
        <f>HYPERLINK("https://www.oit.va.gov/Services/TRM/ToolPage.aspx?tid=7550^","Data Collection Survey Reporter Server")</f>
      </c>
      <c r="B1382" s="4" t="s">
        <v>714</v>
      </c>
      <c r="C1382" s="9" t="s">
        <v>6</v>
      </c>
      <c r="D1382" s="12" t="s">
        <v>1894</v>
      </c>
    </row>
    <row r="1383">
      <c r="A1383" s="5">
        <f>HYPERLINK("https://www.oit.va.gov/Services/TRM/ToolPage.aspx?tid=11535^","Data Envelopment Analysis (DEA)-Solver Pro")</f>
      </c>
      <c r="B1383" s="4" t="s">
        <v>1895</v>
      </c>
      <c r="C1383" s="9" t="s">
        <v>6</v>
      </c>
      <c r="D1383" s="12" t="s">
        <v>1896</v>
      </c>
    </row>
    <row r="1384">
      <c r="A1384" s="5">
        <f>HYPERLINK("https://www.oit.va.gov/Services/TRM/ToolPage.aspx?tid=13751^","Data Extractor and Decision Support System (DSS) Enabled Reporting System (DexDERS)")</f>
      </c>
      <c r="B1384" s="4" t="s">
        <v>887</v>
      </c>
      <c r="C1384" s="9" t="s">
        <v>6</v>
      </c>
      <c r="D1384" s="12" t="s">
        <v>1897</v>
      </c>
    </row>
    <row r="1385">
      <c r="A1385" s="5">
        <f>HYPERLINK("https://www.oit.va.gov/Services/TRM/ToolPage.aspx?tid=12934^","Data Privacy Management (DPM)")</f>
      </c>
      <c r="B1385" s="4" t="s">
        <v>1119</v>
      </c>
      <c r="C1385" s="9" t="s">
        <v>6</v>
      </c>
      <c r="D1385" s="12" t="s">
        <v>1031</v>
      </c>
    </row>
    <row r="1386">
      <c r="A1386" s="5">
        <f>HYPERLINK("https://www.oit.va.gov/Services/TRM/ToolPage.aspx?tid=5937^","Database Management System (DBMS)/Copy")</f>
      </c>
      <c r="B1386" s="4" t="s">
        <v>183</v>
      </c>
      <c r="C1386" s="9" t="s">
        <v>6</v>
      </c>
      <c r="D1386" s="12" t="s">
        <v>1898</v>
      </c>
    </row>
    <row r="1387">
      <c r="A1387" s="5">
        <f>HYPERLINK("https://www.oit.va.gov/Services/TRM/ToolPage.aspx?tid=14503^","DataRobot")</f>
      </c>
      <c r="B1387" s="4" t="s">
        <v>1899</v>
      </c>
      <c r="C1387" s="9" t="s">
        <v>6</v>
      </c>
      <c r="D1387" s="12" t="s">
        <v>190</v>
      </c>
    </row>
    <row r="1388">
      <c r="A1388" s="5">
        <f>HYPERLINK("https://www.oit.va.gov/Services/TRM/ToolPage.aspx?tid=16657^","DBeaver Community")</f>
      </c>
      <c r="B1388" s="4" t="s">
        <v>960</v>
      </c>
      <c r="C1388" s="9" t="s">
        <v>6</v>
      </c>
      <c r="D1388" s="12" t="s">
        <v>488</v>
      </c>
    </row>
    <row r="1389">
      <c r="A1389" s="5">
        <f>HYPERLINK("https://www.oit.va.gov/Services/TRM/ToolPage.aspx?tid=7156^","Delis Kaplan Executive Function System (D-KEFS)")</f>
      </c>
      <c r="B1389" s="4" t="s">
        <v>666</v>
      </c>
      <c r="C1389" s="9" t="s">
        <v>6</v>
      </c>
      <c r="D1389" s="12" t="s">
        <v>966</v>
      </c>
    </row>
    <row r="1390">
      <c r="A1390" s="5">
        <f>HYPERLINK("https://www.oit.va.gov/Services/TRM/ToolPage.aspx?tid=15215^","Dell Operating System (OS) Recovery Tool")</f>
      </c>
      <c r="B1390" s="4" t="s">
        <v>68</v>
      </c>
      <c r="C1390" s="9" t="s">
        <v>6</v>
      </c>
      <c r="D1390" s="12" t="s">
        <v>1900</v>
      </c>
    </row>
    <row r="1391">
      <c r="A1391" s="5">
        <f>HYPERLINK("https://www.oit.va.gov/Services/TRM/ToolPage.aspx?tid=15739^","DensiCHEK Communication Bridge")</f>
      </c>
      <c r="B1391" s="4" t="s">
        <v>1901</v>
      </c>
      <c r="C1391" s="9" t="s">
        <v>6</v>
      </c>
      <c r="D1391" s="12" t="s">
        <v>1902</v>
      </c>
    </row>
    <row r="1392">
      <c r="A1392" s="5">
        <f>HYPERLINK("https://www.oit.va.gov/Services/TRM/ToolPage.aspx?tid=8264^","Dia Diagram Editor	")</f>
      </c>
      <c r="B1392" s="4" t="s">
        <v>1903</v>
      </c>
      <c r="C1392" s="9" t="s">
        <v>6</v>
      </c>
      <c r="D1392" s="12" t="s">
        <v>330</v>
      </c>
    </row>
    <row r="1393">
      <c r="A1393" s="5">
        <f>HYPERLINK("https://www.oit.va.gov/Services/TRM/ToolPage.aspx?tid=5945^","DicomWorks")</f>
      </c>
      <c r="B1393" s="4" t="s">
        <v>1904</v>
      </c>
      <c r="C1393" s="9" t="s">
        <v>6</v>
      </c>
      <c r="D1393" s="12" t="s">
        <v>1905</v>
      </c>
    </row>
    <row r="1394">
      <c r="A1394" s="5">
        <f>HYPERLINK("https://www.oit.va.gov/Services/TRM/ToolPage.aspx?tid=5604^","Dictaphone Enterprise Speech System (DESS)")</f>
      </c>
      <c r="B1394" s="4" t="s">
        <v>342</v>
      </c>
      <c r="C1394" s="9" t="s">
        <v>6</v>
      </c>
      <c r="D1394" s="12" t="s">
        <v>1894</v>
      </c>
    </row>
    <row r="1395">
      <c r="A1395" s="5">
        <f>HYPERLINK("https://www.oit.va.gov/Services/TRM/ToolPage.aspx?tid=8417^","Discover Access for SharePoint Farm Solution")</f>
      </c>
      <c r="B1395" s="4" t="s">
        <v>1906</v>
      </c>
      <c r="C1395" s="9" t="s">
        <v>6</v>
      </c>
      <c r="D1395" s="12" t="s">
        <v>1907</v>
      </c>
    </row>
    <row r="1396">
      <c r="A1396" s="5">
        <f>HYPERLINK("https://www.oit.va.gov/Services/TRM/ToolPage.aspx?tid=10424^","DiskView")</f>
      </c>
      <c r="B1396" s="4" t="s">
        <v>600</v>
      </c>
      <c r="C1396" s="9" t="s">
        <v>6</v>
      </c>
      <c r="D1396" s="12" t="s">
        <v>1908</v>
      </c>
    </row>
    <row r="1397">
      <c r="A1397" s="5">
        <f>HYPERLINK("https://www.oit.va.gov/Services/TRM/ToolPage.aspx?tid=12870^","DisplayIt! Xpress")</f>
      </c>
      <c r="B1397" s="4" t="s">
        <v>1909</v>
      </c>
      <c r="C1397" s="9" t="s">
        <v>6</v>
      </c>
      <c r="D1397" s="12" t="s">
        <v>1910</v>
      </c>
    </row>
    <row r="1398">
      <c r="A1398" s="5">
        <f>HYPERLINK("https://www.oit.va.gov/Services/TRM/ToolPage.aspx?tid=6249^","Distributed Terminology System (DTS)")</f>
      </c>
      <c r="B1398" s="4" t="s">
        <v>1911</v>
      </c>
      <c r="C1398" s="9" t="s">
        <v>6</v>
      </c>
      <c r="D1398" s="12" t="s">
        <v>1912</v>
      </c>
    </row>
    <row r="1399">
      <c r="A1399" s="5">
        <f>HYPERLINK("https://www.oit.va.gov/Services/TRM/ToolPage.aspx?tid=13887^","Docassemble")</f>
      </c>
      <c r="B1399" s="4" t="s">
        <v>1913</v>
      </c>
      <c r="C1399" s="9" t="s">
        <v>6</v>
      </c>
      <c r="D1399" s="12" t="s">
        <v>1914</v>
      </c>
    </row>
    <row r="1400">
      <c r="A1400" s="5">
        <f>HYPERLINK("https://www.oit.va.gov/Services/TRM/ToolPage.aspx?tid=14817^","Docker Machine")</f>
      </c>
      <c r="B1400" s="4" t="s">
        <v>1915</v>
      </c>
      <c r="C1400" s="9" t="s">
        <v>6</v>
      </c>
      <c r="D1400" s="12" t="s">
        <v>1916</v>
      </c>
    </row>
    <row r="1401">
      <c r="A1401" s="5">
        <f>HYPERLINK("https://www.oit.va.gov/Services/TRM/ToolPage.aspx?tid=5703^","Document Storage System (DSS) Encoder Product Suite (EPS)")</f>
      </c>
      <c r="B1401" s="4" t="s">
        <v>294</v>
      </c>
      <c r="C1401" s="9" t="s">
        <v>6</v>
      </c>
      <c r="D1401" s="12" t="s">
        <v>1917</v>
      </c>
    </row>
    <row r="1402">
      <c r="A1402" s="5">
        <f>HYPERLINK("https://www.oit.va.gov/Services/TRM/ToolPage.aspx?tid=11554^","DocumentsCorePack")</f>
      </c>
      <c r="B1402" s="4" t="s">
        <v>1918</v>
      </c>
      <c r="C1402" s="9" t="s">
        <v>6</v>
      </c>
      <c r="D1402" s="12" t="s">
        <v>1919</v>
      </c>
    </row>
    <row r="1403">
      <c r="A1403" s="5">
        <f>HYPERLINK("https://www.oit.va.gov/Services/TRM/ToolPage.aspx?tid=11766^","DocuPrinter")</f>
      </c>
      <c r="B1403" s="4" t="s">
        <v>1920</v>
      </c>
      <c r="C1403" s="9" t="s">
        <v>6</v>
      </c>
      <c r="D1403" s="12" t="s">
        <v>1921</v>
      </c>
    </row>
    <row r="1404">
      <c r="A1404" s="5">
        <f>HYPERLINK("https://www.oit.va.gov/Services/TRM/ToolPage.aspx?tid=6247^","DocuSign Signature Appliance (SA) Client")</f>
      </c>
      <c r="B1404" s="4" t="s">
        <v>1922</v>
      </c>
      <c r="C1404" s="9" t="s">
        <v>6</v>
      </c>
      <c r="D1404" s="12" t="s">
        <v>1923</v>
      </c>
    </row>
    <row r="1405">
      <c r="A1405" s="5">
        <f>HYPERLINK("https://www.oit.va.gov/Services/TRM/ToolPage.aspx?tid=8188^","DOMA Imaging Application (DIA)")</f>
      </c>
      <c r="B1405" s="4" t="s">
        <v>1924</v>
      </c>
      <c r="C1405" s="9" t="s">
        <v>6</v>
      </c>
      <c r="D1405" s="12" t="s">
        <v>1925</v>
      </c>
    </row>
    <row r="1406">
      <c r="A1406" s="5">
        <f>HYPERLINK("https://www.oit.va.gov/Services/TRM/ToolPage.aspx?tid=11656^","DSS Radiation Oncology")</f>
      </c>
      <c r="B1406" s="4" t="s">
        <v>294</v>
      </c>
      <c r="C1406" s="9" t="s">
        <v>6</v>
      </c>
      <c r="D1406" s="12" t="s">
        <v>1926</v>
      </c>
    </row>
    <row r="1407">
      <c r="A1407" s="5">
        <f>HYPERLINK("https://www.oit.va.gov/Services/TRM/ToolPage.aspx?tid=9674^","DXC Procurement Solution")</f>
      </c>
      <c r="B1407" s="4" t="s">
        <v>1927</v>
      </c>
      <c r="C1407" s="9" t="s">
        <v>6</v>
      </c>
      <c r="D1407" s="12" t="s">
        <v>1928</v>
      </c>
    </row>
    <row r="1408">
      <c r="A1408" s="5">
        <f>HYPERLINK("https://www.oit.va.gov/Services/TRM/ToolPage.aspx?tid=15662^","Easy Auto Refresh Browser Extension")</f>
      </c>
      <c r="B1408" s="4" t="s">
        <v>1929</v>
      </c>
      <c r="C1408" s="9" t="s">
        <v>6</v>
      </c>
      <c r="D1408" s="12" t="s">
        <v>1930</v>
      </c>
    </row>
    <row r="1409">
      <c r="A1409" s="5">
        <f>HYPERLINK("https://www.oit.va.gov/Services/TRM/ToolPage.aspx?tid=8079^","ED PulseCheck")</f>
      </c>
      <c r="B1409" s="4" t="s">
        <v>1931</v>
      </c>
      <c r="C1409" s="9" t="s">
        <v>6</v>
      </c>
      <c r="D1409" s="12" t="s">
        <v>1932</v>
      </c>
    </row>
    <row r="1410">
      <c r="A1410" s="5">
        <f>HYPERLINK("https://www.oit.va.gov/Services/TRM/ToolPage.aspx?tid=15007^","ediFabric")</f>
      </c>
      <c r="B1410" s="4" t="s">
        <v>1933</v>
      </c>
      <c r="C1410" s="9" t="s">
        <v>6</v>
      </c>
      <c r="D1410" s="12" t="s">
        <v>1934</v>
      </c>
    </row>
    <row r="1411">
      <c r="A1411" s="5">
        <f>HYPERLINK("https://www.oit.va.gov/Services/TRM/ToolPage.aspx?tid=11643^","eHealthVitals")</f>
      </c>
      <c r="B1411" s="4" t="s">
        <v>1935</v>
      </c>
      <c r="C1411" s="9" t="s">
        <v>6</v>
      </c>
      <c r="D1411" s="12" t="s">
        <v>1936</v>
      </c>
    </row>
    <row r="1412">
      <c r="A1412" s="5">
        <f>HYPERLINK("https://www.oit.va.gov/Services/TRM/ToolPage.aspx?tid=6958^","Embarcadero All-Access")</f>
      </c>
      <c r="B1412" s="4" t="s">
        <v>1828</v>
      </c>
      <c r="C1412" s="9" t="s">
        <v>6</v>
      </c>
      <c r="D1412" s="12" t="s">
        <v>1937</v>
      </c>
    </row>
    <row r="1413">
      <c r="A1413" s="5">
        <f>HYPERLINK("https://www.oit.va.gov/Services/TRM/ToolPage.aspx?tid=9351^","Embrava Connect")</f>
      </c>
      <c r="B1413" s="4" t="s">
        <v>1938</v>
      </c>
      <c r="C1413" s="9" t="s">
        <v>6</v>
      </c>
      <c r="D1413" s="12" t="s">
        <v>1939</v>
      </c>
    </row>
    <row r="1414">
      <c r="A1414" s="5">
        <f>HYPERLINK("https://www.oit.va.gov/Services/TRM/ToolPage.aspx?tid=13806^","EMC Centera")</f>
      </c>
      <c r="B1414" s="4" t="s">
        <v>1940</v>
      </c>
      <c r="C1414" s="9" t="s">
        <v>6</v>
      </c>
      <c r="D1414" s="12" t="s">
        <v>1941</v>
      </c>
    </row>
    <row r="1415">
      <c r="A1415" s="5">
        <f>HYPERLINK("https://www.oit.va.gov/Services/TRM/ToolPage.aspx?tid=13638^","EMCO Medium Scale Integration (MSI) Package Builder")</f>
      </c>
      <c r="B1415" s="4" t="s">
        <v>1942</v>
      </c>
      <c r="C1415" s="9" t="s">
        <v>6</v>
      </c>
      <c r="D1415" s="12" t="s">
        <v>1943</v>
      </c>
    </row>
    <row r="1416">
      <c r="A1416" s="5">
        <f>HYPERLINK("https://www.oit.va.gov/Services/TRM/ToolPage.aspx?tid=14321^","EndNote Click")</f>
      </c>
      <c r="B1416" s="4" t="s">
        <v>1944</v>
      </c>
      <c r="C1416" s="9" t="s">
        <v>6</v>
      </c>
      <c r="D1416" s="12" t="s">
        <v>1945</v>
      </c>
    </row>
    <row r="1417">
      <c r="A1417" s="5">
        <f>HYPERLINK("https://www.oit.va.gov/Services/TRM/ToolPage.aspx?tid=11432^","EndoPAT (Peripheral Arterial Tone) 2000")</f>
      </c>
      <c r="B1417" s="4" t="s">
        <v>1946</v>
      </c>
      <c r="C1417" s="9" t="s">
        <v>6</v>
      </c>
      <c r="D1417" s="12" t="s">
        <v>1947</v>
      </c>
    </row>
    <row r="1418">
      <c r="A1418" s="5">
        <f>HYPERLINK("https://www.oit.va.gov/Services/TRM/ToolPage.aspx?tid=13228^","endoPortal")</f>
      </c>
      <c r="B1418" s="4" t="s">
        <v>1948</v>
      </c>
      <c r="C1418" s="9" t="s">
        <v>6</v>
      </c>
      <c r="D1418" s="12" t="s">
        <v>1949</v>
      </c>
    </row>
    <row r="1419">
      <c r="A1419" s="5">
        <f>HYPERLINK("https://www.oit.va.gov/Services/TRM/ToolPage.aspx?tid=6897^","Enesys RS Data Extension")</f>
      </c>
      <c r="B1419" s="4" t="s">
        <v>1950</v>
      </c>
      <c r="C1419" s="9" t="s">
        <v>6</v>
      </c>
      <c r="D1419" s="12" t="s">
        <v>1951</v>
      </c>
    </row>
    <row r="1420">
      <c r="A1420" s="5">
        <f>HYPERLINK("https://www.oit.va.gov/Services/TRM/ToolPage.aspx?tid=14050^","E-Net")</f>
      </c>
      <c r="B1420" s="4" t="s">
        <v>1952</v>
      </c>
      <c r="C1420" s="9" t="s">
        <v>6</v>
      </c>
      <c r="D1420" s="12" t="s">
        <v>1953</v>
      </c>
    </row>
    <row r="1421">
      <c r="A1421" s="5">
        <f>HYPERLINK("https://www.oit.va.gov/Services/TRM/ToolPage.aspx?tid=16364^","Enterprise JAVA Beans Certificate Authority (EJBCA)")</f>
      </c>
      <c r="B1421" s="4" t="s">
        <v>1954</v>
      </c>
      <c r="C1421" s="9" t="s">
        <v>6</v>
      </c>
      <c r="D1421" s="12" t="s">
        <v>39</v>
      </c>
    </row>
    <row r="1422">
      <c r="A1422" s="5">
        <f>HYPERLINK("https://www.oit.va.gov/Services/TRM/ToolPage.aspx?tid=10776^","Epic Cadence Enterprise Scheduling Software")</f>
      </c>
      <c r="B1422" s="4" t="s">
        <v>1955</v>
      </c>
      <c r="C1422" s="9" t="s">
        <v>6</v>
      </c>
      <c r="D1422" s="12" t="s">
        <v>1956</v>
      </c>
    </row>
    <row r="1423">
      <c r="A1423" s="5">
        <f>HYPERLINK("https://www.oit.va.gov/Services/TRM/ToolPage.aspx?tid=11223^","epoc Enterprise Data Manager (EDM)")</f>
      </c>
      <c r="B1423" s="4" t="s">
        <v>1422</v>
      </c>
      <c r="C1423" s="9" t="s">
        <v>6</v>
      </c>
      <c r="D1423" s="12" t="s">
        <v>1957</v>
      </c>
    </row>
    <row r="1424">
      <c r="A1424" s="5">
        <f>HYPERLINK("https://www.oit.va.gov/Services/TRM/ToolPage.aspx?tid=7886^","Error Logging Modules and Handlers (ELMAH)")</f>
      </c>
      <c r="B1424" s="4" t="s">
        <v>1958</v>
      </c>
      <c r="C1424" s="9" t="s">
        <v>6</v>
      </c>
      <c r="D1424" s="12" t="s">
        <v>1959</v>
      </c>
    </row>
    <row r="1425">
      <c r="A1425" s="5">
        <f>HYPERLINK("https://www.oit.va.gov/Services/TRM/ToolPage.aspx?tid=11142^","e-Sign Desktop")</f>
      </c>
      <c r="B1425" s="4" t="s">
        <v>1960</v>
      </c>
      <c r="C1425" s="9" t="s">
        <v>6</v>
      </c>
      <c r="D1425" s="12" t="s">
        <v>588</v>
      </c>
    </row>
    <row r="1426">
      <c r="A1426" s="5">
        <f>HYPERLINK("https://www.oit.va.gov/Services/TRM/ToolPage.aspx?tid=7907^","EV for Physicians")</f>
      </c>
      <c r="B1426" s="4" t="s">
        <v>1961</v>
      </c>
      <c r="C1426" s="9" t="s">
        <v>6</v>
      </c>
      <c r="D1426" s="12" t="s">
        <v>1962</v>
      </c>
    </row>
    <row r="1427">
      <c r="A1427" s="5">
        <f>HYPERLINK("https://www.oit.va.gov/Services/TRM/ToolPage.aspx?tid=8202^","Evolver")</f>
      </c>
      <c r="B1427" s="4" t="s">
        <v>1750</v>
      </c>
      <c r="C1427" s="9" t="s">
        <v>6</v>
      </c>
      <c r="D1427" s="12" t="s">
        <v>1963</v>
      </c>
    </row>
    <row r="1428">
      <c r="A1428" s="5">
        <f>HYPERLINK("https://www.oit.va.gov/Services/TRM/ToolPage.aspx?tid=15810^","ExpanDrive Server")</f>
      </c>
      <c r="B1428" s="4" t="s">
        <v>379</v>
      </c>
      <c r="C1428" s="9" t="s">
        <v>6</v>
      </c>
      <c r="D1428" s="12" t="s">
        <v>1964</v>
      </c>
    </row>
    <row r="1429">
      <c r="A1429" s="5">
        <f>HYPERLINK("https://www.oit.va.gov/Services/TRM/ToolPage.aspx?tid=14766^","FaceReader")</f>
      </c>
      <c r="B1429" s="4" t="s">
        <v>1965</v>
      </c>
      <c r="C1429" s="9" t="s">
        <v>6</v>
      </c>
      <c r="D1429" s="12" t="s">
        <v>1966</v>
      </c>
    </row>
    <row r="1430">
      <c r="A1430" s="5">
        <f>HYPERLINK("https://www.oit.va.gov/Services/TRM/ToolPage.aspx?tid=8678^","Facility Management System (FMS) Reports Application")</f>
      </c>
      <c r="B1430" s="4" t="s">
        <v>1967</v>
      </c>
      <c r="C1430" s="9" t="s">
        <v>6</v>
      </c>
      <c r="D1430" s="12" t="s">
        <v>475</v>
      </c>
    </row>
    <row r="1431">
      <c r="A1431" s="5">
        <f>HYPERLINK("https://www.oit.va.gov/Services/TRM/ToolPage.aspx?tid=14564^","Fast Software Audit")</f>
      </c>
      <c r="B1431" s="4" t="s">
        <v>1968</v>
      </c>
      <c r="C1431" s="9" t="s">
        <v>6</v>
      </c>
      <c r="D1431" s="12" t="s">
        <v>1969</v>
      </c>
    </row>
    <row r="1432">
      <c r="A1432" s="5">
        <f>HYPERLINK("https://www.oit.va.gov/Services/TRM/ToolPage.aspx?tid=8581^","Fellow Oak (FO) Digital Imaging and Communications in Medicine (DICOM)")</f>
      </c>
      <c r="B1432" s="4" t="s">
        <v>1970</v>
      </c>
      <c r="C1432" s="9" t="s">
        <v>6</v>
      </c>
      <c r="D1432" s="12" t="s">
        <v>1117</v>
      </c>
    </row>
    <row r="1433">
      <c r="A1433" s="5">
        <f>HYPERLINK("https://www.oit.va.gov/Services/TRM/ToolPage.aspx?tid=6541^","FishEye")</f>
      </c>
      <c r="B1433" s="4" t="s">
        <v>829</v>
      </c>
      <c r="C1433" s="9" t="s">
        <v>6</v>
      </c>
      <c r="D1433" s="12" t="s">
        <v>1971</v>
      </c>
    </row>
    <row r="1434">
      <c r="A1434" s="5">
        <f>HYPERLINK("https://www.oit.va.gov/Services/TRM/ToolPage.aspx?tid=11045^","Fluency Dispatch Server")</f>
      </c>
      <c r="B1434" s="4" t="s">
        <v>1972</v>
      </c>
      <c r="C1434" s="9" t="s">
        <v>6</v>
      </c>
      <c r="D1434" s="12" t="s">
        <v>1973</v>
      </c>
    </row>
    <row r="1435">
      <c r="A1435" s="5">
        <f>HYPERLINK("https://www.oit.va.gov/Services/TRM/ToolPage.aspx?tid=9921^","ForeSite Seating System (SS)")</f>
      </c>
      <c r="B1435" s="4" t="s">
        <v>1974</v>
      </c>
      <c r="C1435" s="9" t="s">
        <v>6</v>
      </c>
      <c r="D1435" s="12" t="s">
        <v>1975</v>
      </c>
    </row>
    <row r="1436">
      <c r="A1436" s="5">
        <f>HYPERLINK("https://www.oit.va.gov/Services/TRM/ToolPage.aspx?tid=10460^","FormBridge for InfoPath and SharePoint")</f>
      </c>
      <c r="B1436" s="4" t="s">
        <v>1976</v>
      </c>
      <c r="C1436" s="9" t="s">
        <v>6</v>
      </c>
      <c r="D1436" s="12" t="s">
        <v>1977</v>
      </c>
    </row>
    <row r="1437">
      <c r="A1437" s="5">
        <f>HYPERLINK("https://www.oit.va.gov/Services/TRM/ToolPage.aspx?tid=10117^","Full Monte")</f>
      </c>
      <c r="B1437" s="4" t="s">
        <v>1978</v>
      </c>
      <c r="C1437" s="9" t="s">
        <v>6</v>
      </c>
      <c r="D1437" s="12" t="s">
        <v>1963</v>
      </c>
    </row>
    <row r="1438">
      <c r="A1438" s="5">
        <f>HYPERLINK("https://www.oit.va.gov/Services/TRM/ToolPage.aspx?tid=13805^","GanttProject")</f>
      </c>
      <c r="B1438" s="4" t="s">
        <v>1979</v>
      </c>
      <c r="C1438" s="9" t="s">
        <v>6</v>
      </c>
      <c r="D1438" s="12" t="s">
        <v>1980</v>
      </c>
    </row>
    <row r="1439">
      <c r="A1439" s="5">
        <f>HYPERLINK("https://www.oit.va.gov/Services/TRM/ToolPage.aspx?tid=7049^","Generic Exchangeable-edits, Data-dictionary, and Information Translation Standard (GenEDITS) Plus")</f>
      </c>
      <c r="B1439" s="4" t="s">
        <v>1981</v>
      </c>
      <c r="C1439" s="9" t="s">
        <v>6</v>
      </c>
      <c r="D1439" s="12" t="s">
        <v>1342</v>
      </c>
    </row>
    <row r="1440">
      <c r="A1440" s="5">
        <f>HYPERLINK("https://www.oit.va.gov/Services/TRM/ToolPage.aspx?tid=14074^","Genie Backup Manager")</f>
      </c>
      <c r="B1440" s="4" t="s">
        <v>1982</v>
      </c>
      <c r="C1440" s="9" t="s">
        <v>6</v>
      </c>
      <c r="D1440" s="12" t="s">
        <v>1983</v>
      </c>
    </row>
    <row r="1441">
      <c r="A1441" s="5">
        <f>HYPERLINK("https://www.oit.va.gov/Services/TRM/ToolPage.aspx?tid=7050^","GeoServer")</f>
      </c>
      <c r="B1441" s="4" t="s">
        <v>1984</v>
      </c>
      <c r="C1441" s="9" t="s">
        <v>6</v>
      </c>
      <c r="D1441" s="12" t="s">
        <v>1985</v>
      </c>
    </row>
    <row r="1442">
      <c r="A1442" s="5">
        <f>HYPERLINK("https://www.oit.va.gov/Services/TRM/ToolPage.aspx?tid=6667^","gGastro")</f>
      </c>
      <c r="B1442" s="4" t="s">
        <v>1986</v>
      </c>
      <c r="C1442" s="9" t="s">
        <v>6</v>
      </c>
      <c r="D1442" s="12" t="s">
        <v>1987</v>
      </c>
    </row>
    <row r="1443">
      <c r="A1443" s="5">
        <f>HYPERLINK("https://www.oit.va.gov/Services/TRM/ToolPage.aspx?tid=14189^","Git Extensions")</f>
      </c>
      <c r="B1443" s="4" t="s">
        <v>1988</v>
      </c>
      <c r="C1443" s="9" t="s">
        <v>6</v>
      </c>
      <c r="D1443" s="12" t="s">
        <v>821</v>
      </c>
    </row>
    <row r="1444">
      <c r="A1444" s="5">
        <f>HYPERLINK("https://www.oit.va.gov/Services/TRM/ToolPage.aspx?tid=8199^","Goliath Performance Monitor")</f>
      </c>
      <c r="B1444" s="4" t="s">
        <v>1989</v>
      </c>
      <c r="C1444" s="9" t="s">
        <v>6</v>
      </c>
      <c r="D1444" s="12" t="s">
        <v>1990</v>
      </c>
    </row>
    <row r="1445">
      <c r="A1445" s="5">
        <f>HYPERLINK("https://www.oit.va.gov/Services/TRM/ToolPage.aspx?tid=16566^","Grammarly for Windows")</f>
      </c>
      <c r="B1445" s="4" t="s">
        <v>1991</v>
      </c>
      <c r="C1445" s="9" t="s">
        <v>6</v>
      </c>
      <c r="D1445" s="12" t="s">
        <v>1992</v>
      </c>
    </row>
    <row r="1446">
      <c r="A1446" s="5">
        <f>HYPERLINK("https://www.oit.va.gov/Services/TRM/ToolPage.aspx?tid=9050^","Graph Database (GraphDB)")</f>
      </c>
      <c r="B1446" s="4" t="s">
        <v>1993</v>
      </c>
      <c r="C1446" s="9" t="s">
        <v>6</v>
      </c>
      <c r="D1446" s="12" t="s">
        <v>1994</v>
      </c>
    </row>
    <row r="1447">
      <c r="A1447" s="5">
        <f>HYPERLINK("https://www.oit.va.gov/Services/TRM/ToolPage.aspx?tid=7708^","Group Policy Automation Engine")</f>
      </c>
      <c r="B1447" s="4" t="s">
        <v>1995</v>
      </c>
      <c r="C1447" s="9" t="s">
        <v>6</v>
      </c>
      <c r="D1447" s="12" t="s">
        <v>1996</v>
      </c>
    </row>
    <row r="1448">
      <c r="A1448" s="5">
        <f>HYPERLINK("https://www.oit.va.gov/Services/TRM/ToolPage.aspx?tid=7719^","Group Policy Object (GPO) Compare")</f>
      </c>
      <c r="B1448" s="4" t="s">
        <v>1995</v>
      </c>
      <c r="C1448" s="9" t="s">
        <v>6</v>
      </c>
      <c r="D1448" s="12" t="s">
        <v>1997</v>
      </c>
    </row>
    <row r="1449">
      <c r="A1449" s="5">
        <f>HYPERLINK("https://www.oit.va.gov/Services/TRM/ToolPage.aspx?tid=7707^","Group Policy Object (GPO) Exporter")</f>
      </c>
      <c r="B1449" s="4" t="s">
        <v>1995</v>
      </c>
      <c r="C1449" s="9" t="s">
        <v>6</v>
      </c>
      <c r="D1449" s="12" t="s">
        <v>1998</v>
      </c>
    </row>
    <row r="1450">
      <c r="A1450" s="5">
        <f>HYPERLINK("https://www.oit.va.gov/Services/TRM/ToolPage.aspx?tid=9263^","HarePoint Workflow Scheduler")</f>
      </c>
      <c r="B1450" s="4" t="s">
        <v>1999</v>
      </c>
      <c r="C1450" s="9" t="s">
        <v>6</v>
      </c>
      <c r="D1450" s="12" t="s">
        <v>2000</v>
      </c>
    </row>
    <row r="1451">
      <c r="A1451" s="5">
        <f>HYPERLINK("https://www.oit.va.gov/Services/TRM/ToolPage.aspx?tid=11012^","Health Harmony")</f>
      </c>
      <c r="B1451" s="4" t="s">
        <v>2001</v>
      </c>
      <c r="C1451" s="9" t="s">
        <v>6</v>
      </c>
      <c r="D1451" s="12" t="s">
        <v>2002</v>
      </c>
    </row>
    <row r="1452">
      <c r="A1452" s="5">
        <f>HYPERLINK("https://www.oit.va.gov/Services/TRM/ToolPage.aspx?tid=8148^","HeartStart Event Review Pro")</f>
      </c>
      <c r="B1452" s="4" t="s">
        <v>919</v>
      </c>
      <c r="C1452" s="9" t="s">
        <v>6</v>
      </c>
      <c r="D1452" s="12" t="s">
        <v>2003</v>
      </c>
    </row>
    <row r="1453">
      <c r="A1453" s="5">
        <f>HYPERLINK("https://www.oit.va.gov/Services/TRM/ToolPage.aspx?tid=13603^","HeidiSQL")</f>
      </c>
      <c r="B1453" s="4" t="s">
        <v>2004</v>
      </c>
      <c r="C1453" s="9" t="s">
        <v>6</v>
      </c>
      <c r="D1453" s="12" t="s">
        <v>2005</v>
      </c>
    </row>
    <row r="1454">
      <c r="A1454" s="5">
        <f>HYPERLINK("https://www.oit.va.gov/Services/TRM/ToolPage.aspx?tid=8149^","HemaTrax-Cellular Therapy (CT)")</f>
      </c>
      <c r="B1454" s="4" t="s">
        <v>2006</v>
      </c>
      <c r="C1454" s="9" t="s">
        <v>6</v>
      </c>
      <c r="D1454" s="12" t="s">
        <v>1703</v>
      </c>
    </row>
    <row r="1455">
      <c r="A1455" s="5">
        <f>HYPERLINK("https://www.oit.va.gov/Services/TRM/ToolPage.aspx?tid=13070^","Hewlett Packard Common Internet File System (CIFS) Server")</f>
      </c>
      <c r="B1455" s="4" t="s">
        <v>302</v>
      </c>
      <c r="C1455" s="9" t="s">
        <v>6</v>
      </c>
      <c r="D1455" s="12" t="s">
        <v>2007</v>
      </c>
    </row>
    <row r="1456">
      <c r="A1456" s="5">
        <f>HYPERLINK("https://www.oit.va.gov/Services/TRM/ToolPage.aspx?tid=13^","Hibernate Object/Relational Mapping (ORM)")</f>
      </c>
      <c r="B1456" s="4" t="s">
        <v>2008</v>
      </c>
      <c r="C1456" s="9" t="s">
        <v>6</v>
      </c>
      <c r="D1456" s="12" t="s">
        <v>2009</v>
      </c>
    </row>
    <row r="1457">
      <c r="A1457" s="5">
        <f>HYPERLINK("https://www.oit.va.gov/Services/TRM/ToolPage.aspx?tid=10188^","Hidex Automatic Gamma Counter (AMG) Software")</f>
      </c>
      <c r="B1457" s="4" t="s">
        <v>2010</v>
      </c>
      <c r="C1457" s="9" t="s">
        <v>6</v>
      </c>
      <c r="D1457" s="12" t="s">
        <v>2011</v>
      </c>
    </row>
    <row r="1458">
      <c r="A1458" s="5">
        <f>HYPERLINK("https://www.oit.va.gov/Services/TRM/ToolPage.aspx?tid=8689^","HI-IQ Classic Software")</f>
      </c>
      <c r="B1458" s="4" t="s">
        <v>1090</v>
      </c>
      <c r="C1458" s="9" t="s">
        <v>6</v>
      </c>
      <c r="D1458" s="12" t="s">
        <v>2012</v>
      </c>
    </row>
    <row r="1459">
      <c r="A1459" s="5">
        <f>HYPERLINK("https://www.oit.va.gov/Services/TRM/ToolPage.aspx?tid=14273^","HPE Enterprise SQL Optimizer (ESO)")</f>
      </c>
      <c r="B1459" s="4" t="s">
        <v>2013</v>
      </c>
      <c r="C1459" s="9" t="s">
        <v>6</v>
      </c>
      <c r="D1459" s="12" t="s">
        <v>2014</v>
      </c>
    </row>
    <row r="1460">
      <c r="A1460" s="5">
        <f>HYPERLINK("https://www.oit.va.gov/Services/TRM/ToolPage.aspx?tid=11462^","HPE StoreVirtual VSA Software")</f>
      </c>
      <c r="B1460" s="4" t="s">
        <v>2013</v>
      </c>
      <c r="C1460" s="9" t="s">
        <v>6</v>
      </c>
      <c r="D1460" s="12" t="s">
        <v>2015</v>
      </c>
    </row>
    <row r="1461">
      <c r="A1461" s="5">
        <f>HYPERLINK("https://www.oit.va.gov/Services/TRM/ToolPage.aspx?tid=6637^","Idera Structured Query Language (SQL) Admin Toolset")</f>
      </c>
      <c r="B1461" s="4" t="s">
        <v>1034</v>
      </c>
      <c r="C1461" s="9" t="s">
        <v>6</v>
      </c>
      <c r="D1461" s="12" t="s">
        <v>2016</v>
      </c>
    </row>
    <row r="1462">
      <c r="A1462" s="5">
        <f>HYPERLINK("https://www.oit.va.gov/Services/TRM/ToolPage.aspx?tid=8817^","IKVM.NET")</f>
      </c>
      <c r="B1462" s="4" t="s">
        <v>2017</v>
      </c>
      <c r="C1462" s="9" t="s">
        <v>6</v>
      </c>
      <c r="D1462" s="12" t="s">
        <v>2018</v>
      </c>
    </row>
    <row r="1463">
      <c r="A1463" s="5">
        <f>HYPERLINK("https://www.oit.va.gov/Services/TRM/ToolPage.aspx?tid=11694^","I-List")</f>
      </c>
      <c r="B1463" s="4" t="s">
        <v>2019</v>
      </c>
      <c r="C1463" s="9" t="s">
        <v>6</v>
      </c>
      <c r="D1463" s="12" t="s">
        <v>2020</v>
      </c>
    </row>
    <row r="1464">
      <c r="A1464" s="5">
        <f>HYPERLINK("https://www.oit.va.gov/Services/TRM/ToolPage.aspx?tid=16120^","Import Wizard")</f>
      </c>
      <c r="B1464" s="4" t="s">
        <v>2021</v>
      </c>
      <c r="C1464" s="9" t="s">
        <v>6</v>
      </c>
      <c r="D1464" s="12" t="s">
        <v>2022</v>
      </c>
    </row>
    <row r="1465">
      <c r="A1465" s="5">
        <f>HYPERLINK("https://www.oit.va.gov/Services/TRM/ToolPage.aspx?tid=9827^","I-neb Insight")</f>
      </c>
      <c r="B1465" s="4" t="s">
        <v>919</v>
      </c>
      <c r="C1465" s="9" t="s">
        <v>6</v>
      </c>
      <c r="D1465" s="12" t="s">
        <v>2023</v>
      </c>
    </row>
    <row r="1466">
      <c r="A1466" s="5">
        <f>HYPERLINK("https://www.oit.va.gov/Services/TRM/ToolPage.aspx?tid=6668^","InFlow")</f>
      </c>
      <c r="B1466" s="4" t="s">
        <v>2024</v>
      </c>
      <c r="C1466" s="9" t="s">
        <v>6</v>
      </c>
      <c r="D1466" s="12" t="s">
        <v>2025</v>
      </c>
    </row>
    <row r="1467">
      <c r="A1467" s="5">
        <f>HYPERLINK("https://www.oit.va.gov/Services/TRM/ToolPage.aspx?tid=10897^","InfoCenter Suite Advanced")</f>
      </c>
      <c r="B1467" s="4" t="s">
        <v>1469</v>
      </c>
      <c r="C1467" s="9" t="s">
        <v>6</v>
      </c>
      <c r="D1467" s="12" t="s">
        <v>2026</v>
      </c>
    </row>
    <row r="1468">
      <c r="A1468" s="5">
        <f>HYPERLINK("https://www.oit.va.gov/Services/TRM/ToolPage.aspx?tid=7081^","Informatics for Integrating Biology and the Bedside (i2b2)")</f>
      </c>
      <c r="B1468" s="4" t="s">
        <v>2027</v>
      </c>
      <c r="C1468" s="9" t="s">
        <v>6</v>
      </c>
      <c r="D1468" s="12" t="s">
        <v>2028</v>
      </c>
    </row>
    <row r="1469">
      <c r="A1469" s="5">
        <f>HYPERLINK("https://www.oit.va.gov/Services/TRM/ToolPage.aspx?tid=10831^","Infusion Barcode Medication Administration (BCMA)")</f>
      </c>
      <c r="B1469" s="4" t="s">
        <v>762</v>
      </c>
      <c r="C1469" s="9" t="s">
        <v>6</v>
      </c>
      <c r="D1469" s="12" t="s">
        <v>2029</v>
      </c>
    </row>
    <row r="1470">
      <c r="A1470" s="5">
        <f>HYPERLINK("https://www.oit.va.gov/Services/TRM/ToolPage.aspx?tid=14764^","inSSIDer")</f>
      </c>
      <c r="B1470" s="4" t="s">
        <v>2030</v>
      </c>
      <c r="C1470" s="9" t="s">
        <v>6</v>
      </c>
      <c r="D1470" s="12" t="s">
        <v>2031</v>
      </c>
    </row>
    <row r="1471">
      <c r="A1471" s="5">
        <f>HYPERLINK("https://www.oit.va.gov/Services/TRM/ToolPage.aspx?tid=5800^","InstallAnywhere")</f>
      </c>
      <c r="B1471" s="4" t="s">
        <v>164</v>
      </c>
      <c r="C1471" s="9" t="s">
        <v>6</v>
      </c>
      <c r="D1471" s="12" t="s">
        <v>2028</v>
      </c>
    </row>
    <row r="1472">
      <c r="A1472" s="5">
        <f>HYPERLINK("https://www.oit.va.gov/Services/TRM/ToolPage.aspx?tid=14458^","InstEd")</f>
      </c>
      <c r="B1472" s="4" t="s">
        <v>2032</v>
      </c>
      <c r="C1472" s="9" t="s">
        <v>6</v>
      </c>
      <c r="D1472" s="12" t="s">
        <v>2016</v>
      </c>
    </row>
    <row r="1473">
      <c r="A1473" s="5">
        <f>HYPERLINK("https://www.oit.va.gov/Services/TRM/ToolPage.aspx?tid=13771^","IntelliVue Clinical Information Portfolio (ICIP)")</f>
      </c>
      <c r="B1473" s="4" t="s">
        <v>919</v>
      </c>
      <c r="C1473" s="9" t="s">
        <v>6</v>
      </c>
      <c r="D1473" s="12" t="s">
        <v>2033</v>
      </c>
    </row>
    <row r="1474">
      <c r="A1474" s="5">
        <f>HYPERLINK("https://www.oit.va.gov/Services/TRM/ToolPage.aspx?tid=6762^","iPlanet Web Server")</f>
      </c>
      <c r="B1474" s="4" t="s">
        <v>136</v>
      </c>
      <c r="C1474" s="9" t="s">
        <v>6</v>
      </c>
      <c r="D1474" s="12" t="s">
        <v>2034</v>
      </c>
    </row>
    <row r="1475">
      <c r="A1475" s="5">
        <f>HYPERLINK("https://www.oit.va.gov/Services/TRM/ToolPage.aspx?tid=14390^","IRISNotes Air 3")</f>
      </c>
      <c r="B1475" s="4" t="s">
        <v>2035</v>
      </c>
      <c r="C1475" s="9" t="s">
        <v>6</v>
      </c>
      <c r="D1475" s="12" t="s">
        <v>1146</v>
      </c>
    </row>
    <row r="1476">
      <c r="A1476" s="5">
        <f>HYPERLINK("https://www.oit.va.gov/Services/TRM/ToolPage.aspx?tid=11011^","Iron Bow Vivify Pathways Portal")</f>
      </c>
      <c r="B1476" s="4" t="s">
        <v>2036</v>
      </c>
      <c r="C1476" s="9" t="s">
        <v>6</v>
      </c>
      <c r="D1476" s="12" t="s">
        <v>2037</v>
      </c>
    </row>
    <row r="1477">
      <c r="A1477" s="5">
        <f>HYPERLINK("https://www.oit.va.gov/Services/TRM/ToolPage.aspx?tid=14263^","Isensix Guardian")</f>
      </c>
      <c r="B1477" s="4" t="s">
        <v>2038</v>
      </c>
      <c r="C1477" s="9" t="s">
        <v>6</v>
      </c>
      <c r="D1477" s="12" t="s">
        <v>2039</v>
      </c>
    </row>
    <row r="1478">
      <c r="A1478" s="5">
        <f>HYPERLINK("https://www.oit.va.gov/Services/TRM/ToolPage.aspx?tid=7812^","Item Response Theory for Patient-Reported Outcomes (IRTPRO)")</f>
      </c>
      <c r="B1478" s="4" t="s">
        <v>2040</v>
      </c>
      <c r="C1478" s="9" t="s">
        <v>6</v>
      </c>
      <c r="D1478" s="12" t="s">
        <v>2041</v>
      </c>
    </row>
    <row r="1479">
      <c r="A1479" s="5">
        <f>HYPERLINK("https://www.oit.va.gov/Services/TRM/ToolPage.aspx?tid=8415^","Ivanti Patch")</f>
      </c>
      <c r="B1479" s="4" t="s">
        <v>2042</v>
      </c>
      <c r="C1479" s="9" t="s">
        <v>6</v>
      </c>
      <c r="D1479" s="12" t="s">
        <v>2043</v>
      </c>
    </row>
    <row r="1480">
      <c r="A1480" s="5">
        <f>HYPERLINK("https://www.oit.va.gov/Services/TRM/ToolPage.aspx?tid=9614^","Java Open Single Sign-On (JOSSO)")</f>
      </c>
      <c r="B1480" s="4" t="s">
        <v>2044</v>
      </c>
      <c r="C1480" s="9" t="s">
        <v>6</v>
      </c>
      <c r="D1480" s="12" t="s">
        <v>2045</v>
      </c>
    </row>
    <row r="1481">
      <c r="A1481" s="5">
        <f>HYPERLINK("https://www.oit.va.gov/Services/TRM/ToolPage.aspx?tid=8081^","JAX Colony Management System (JCMS)")</f>
      </c>
      <c r="B1481" s="4" t="s">
        <v>2046</v>
      </c>
      <c r="C1481" s="9" t="s">
        <v>6</v>
      </c>
      <c r="D1481" s="12" t="s">
        <v>2047</v>
      </c>
    </row>
    <row r="1482">
      <c r="A1482" s="5">
        <f>HYPERLINK("https://www.oit.va.gov/Services/TRM/ToolPage.aspx?tid=11687^","JetBrains dotPeek")</f>
      </c>
      <c r="B1482" s="4" t="s">
        <v>671</v>
      </c>
      <c r="C1482" s="9" t="s">
        <v>6</v>
      </c>
      <c r="D1482" s="12" t="s">
        <v>38</v>
      </c>
    </row>
    <row r="1483">
      <c r="A1483" s="5">
        <f>HYPERLINK("https://www.oit.va.gov/Services/TRM/ToolPage.aspx?tid=6542^","JIRA Agile")</f>
      </c>
      <c r="B1483" s="4" t="s">
        <v>829</v>
      </c>
      <c r="C1483" s="9" t="s">
        <v>6</v>
      </c>
      <c r="D1483" s="12" t="s">
        <v>2048</v>
      </c>
    </row>
    <row r="1484">
      <c r="A1484" s="5">
        <f>HYPERLINK("https://www.oit.va.gov/Services/TRM/ToolPage.aspx?tid=10659^","JResultNet")</f>
      </c>
      <c r="B1484" s="4" t="s">
        <v>2049</v>
      </c>
      <c r="C1484" s="9" t="s">
        <v>6</v>
      </c>
      <c r="D1484" s="12" t="s">
        <v>2050</v>
      </c>
    </row>
    <row r="1485">
      <c r="A1485" s="5">
        <f>HYPERLINK("https://www.oit.va.gov/Services/TRM/ToolPage.aspx?tid=9549^","Keypoint Interactive")</f>
      </c>
      <c r="B1485" s="4" t="s">
        <v>2051</v>
      </c>
      <c r="C1485" s="9" t="s">
        <v>6</v>
      </c>
      <c r="D1485" s="12" t="s">
        <v>2052</v>
      </c>
    </row>
    <row r="1486">
      <c r="A1486" s="5">
        <f>HYPERLINK("https://www.oit.va.gov/Services/TRM/ToolPage.aspx?tid=10024^","KeyPro III Key Control Software")</f>
      </c>
      <c r="B1486" s="4" t="s">
        <v>2053</v>
      </c>
      <c r="C1486" s="9" t="s">
        <v>6</v>
      </c>
      <c r="D1486" s="12" t="s">
        <v>2054</v>
      </c>
    </row>
    <row r="1487">
      <c r="A1487" s="5">
        <f>HYPERLINK("https://www.oit.va.gov/Services/TRM/ToolPage.aspx?tid=6905^","KWizCom Calendar Plus Web Part")</f>
      </c>
      <c r="B1487" s="4" t="s">
        <v>2055</v>
      </c>
      <c r="C1487" s="9" t="s">
        <v>6</v>
      </c>
      <c r="D1487" s="12" t="s">
        <v>2056</v>
      </c>
    </row>
    <row r="1488">
      <c r="A1488" s="5">
        <f>HYPERLINK("https://www.oit.va.gov/Services/TRM/ToolPage.aspx?tid=13523^","Label Maker Pro")</f>
      </c>
      <c r="B1488" s="4" t="s">
        <v>2057</v>
      </c>
      <c r="C1488" s="9" t="s">
        <v>6</v>
      </c>
      <c r="D1488" s="12" t="s">
        <v>2058</v>
      </c>
    </row>
    <row r="1489">
      <c r="A1489" s="5">
        <f>HYPERLINK("https://www.oit.va.gov/Services/TRM/ToolPage.aspx?tid=11149^","LabelMark")</f>
      </c>
      <c r="B1489" s="4" t="s">
        <v>2059</v>
      </c>
      <c r="C1489" s="9" t="s">
        <v>6</v>
      </c>
      <c r="D1489" s="12" t="s">
        <v>2060</v>
      </c>
    </row>
    <row r="1490">
      <c r="A1490" s="5">
        <f>HYPERLINK("https://www.oit.va.gov/Services/TRM/ToolPage.aspx?tid=10073^","LABTrack Electronic Lab Notebook (ELN)")</f>
      </c>
      <c r="B1490" s="4" t="s">
        <v>2061</v>
      </c>
      <c r="C1490" s="9" t="s">
        <v>6</v>
      </c>
      <c r="D1490" s="12" t="s">
        <v>128</v>
      </c>
    </row>
    <row r="1491">
      <c r="A1491" s="5">
        <f>HYPERLINK("https://www.oit.va.gov/Services/TRM/ToolPage.aspx?tid=6025^","LEADTOOLS ePrint Professional")</f>
      </c>
      <c r="B1491" s="4" t="s">
        <v>2062</v>
      </c>
      <c r="C1491" s="9" t="s">
        <v>6</v>
      </c>
      <c r="D1491" s="12" t="s">
        <v>2063</v>
      </c>
    </row>
    <row r="1492">
      <c r="A1492" s="5">
        <f>HYPERLINK("https://www.oit.va.gov/Services/TRM/ToolPage.aspx?tid=9616^","Life Table Analysis System (LTAS)")</f>
      </c>
      <c r="B1492" s="4" t="s">
        <v>693</v>
      </c>
      <c r="C1492" s="9" t="s">
        <v>6</v>
      </c>
      <c r="D1492" s="12" t="s">
        <v>1184</v>
      </c>
    </row>
    <row r="1493">
      <c r="A1493" s="5">
        <f>HYPERLINK("https://www.oit.va.gov/Services/TRM/ToolPage.aspx?tid=13088^","LINKMED Interface Engine (IE)")</f>
      </c>
      <c r="B1493" s="4" t="s">
        <v>2064</v>
      </c>
      <c r="C1493" s="9" t="s">
        <v>6</v>
      </c>
      <c r="D1493" s="12" t="s">
        <v>2065</v>
      </c>
    </row>
    <row r="1494">
      <c r="A1494" s="5">
        <f>HYPERLINK("https://www.oit.va.gov/Services/TRM/ToolPage.aspx?tid=13014^","LiquidFiles")</f>
      </c>
      <c r="B1494" s="4" t="s">
        <v>2066</v>
      </c>
      <c r="C1494" s="9" t="s">
        <v>6</v>
      </c>
      <c r="D1494" s="12" t="s">
        <v>2067</v>
      </c>
    </row>
    <row r="1495">
      <c r="A1495" s="5">
        <f>HYPERLINK("https://www.oit.va.gov/Services/TRM/ToolPage.aspx?tid=14215^","ListBooster")</f>
      </c>
      <c r="B1495" s="4" t="s">
        <v>2068</v>
      </c>
      <c r="C1495" s="9" t="s">
        <v>6</v>
      </c>
      <c r="D1495" s="12" t="s">
        <v>2069</v>
      </c>
    </row>
    <row r="1496">
      <c r="A1496" s="5">
        <f>HYPERLINK("https://www.oit.va.gov/Services/TRM/ToolPage.aspx?tid=7476^","LiveWeb")</f>
      </c>
      <c r="B1496" s="4" t="s">
        <v>2070</v>
      </c>
      <c r="C1496" s="9" t="s">
        <v>6</v>
      </c>
      <c r="D1496" s="12" t="s">
        <v>2071</v>
      </c>
    </row>
    <row r="1497">
      <c r="A1497" s="5">
        <f>HYPERLINK("https://www.oit.va.gov/Services/TRM/ToolPage.aspx?tid=10344^","LungView")</f>
      </c>
      <c r="B1497" s="4" t="s">
        <v>2072</v>
      </c>
      <c r="C1497" s="9" t="s">
        <v>6</v>
      </c>
      <c r="D1497" s="12" t="s">
        <v>1232</v>
      </c>
    </row>
    <row r="1498">
      <c r="A1498" s="5">
        <f>HYPERLINK("https://www.oit.va.gov/Services/TRM/ToolPage.aspx?tid=10075^","M Data Extractor (MDE)")</f>
      </c>
      <c r="B1498" s="4" t="s">
        <v>2073</v>
      </c>
      <c r="C1498" s="9" t="s">
        <v>6</v>
      </c>
      <c r="D1498" s="12" t="s">
        <v>1210</v>
      </c>
    </row>
    <row r="1499">
      <c r="A1499" s="5">
        <f>HYPERLINK("https://www.oit.va.gov/Services/TRM/ToolPage.aspx?tid=7677^","Magic xpa Application Platform")</f>
      </c>
      <c r="B1499" s="4" t="s">
        <v>2074</v>
      </c>
      <c r="C1499" s="9" t="s">
        <v>6</v>
      </c>
      <c r="D1499" s="12" t="s">
        <v>2075</v>
      </c>
    </row>
    <row r="1500">
      <c r="A1500" s="5">
        <f>HYPERLINK("https://www.oit.va.gov/Services/TRM/ToolPage.aspx?tid=10622^","ManoView Anorectal (AR) Analysis Software")</f>
      </c>
      <c r="B1500" s="4" t="s">
        <v>1089</v>
      </c>
      <c r="C1500" s="9" t="s">
        <v>6</v>
      </c>
      <c r="D1500" s="12" t="s">
        <v>2076</v>
      </c>
    </row>
    <row r="1501">
      <c r="A1501" s="5">
        <f>HYPERLINK("https://www.oit.va.gov/Services/TRM/ToolPage.aspx?tid=6977^","Mantis Bug Tracker (BT)")</f>
      </c>
      <c r="B1501" s="4" t="s">
        <v>2077</v>
      </c>
      <c r="C1501" s="9" t="s">
        <v>6</v>
      </c>
      <c r="D1501" s="12" t="s">
        <v>2078</v>
      </c>
    </row>
    <row r="1502">
      <c r="A1502" s="5">
        <f>HYPERLINK("https://www.oit.va.gov/Services/TRM/ToolPage.aspx?tid=9688^","MassLynx Mass Spectrometry (MS) Software")</f>
      </c>
      <c r="B1502" s="4" t="s">
        <v>2079</v>
      </c>
      <c r="C1502" s="9" t="s">
        <v>6</v>
      </c>
      <c r="D1502" s="12" t="s">
        <v>2080</v>
      </c>
    </row>
    <row r="1503">
      <c r="A1503" s="5">
        <f>HYPERLINK("https://www.oit.va.gov/Services/TRM/ToolPage.aspx?tid=14861^","MathPlayer")</f>
      </c>
      <c r="B1503" s="4" t="s">
        <v>2081</v>
      </c>
      <c r="C1503" s="9" t="s">
        <v>6</v>
      </c>
      <c r="D1503" s="12" t="s">
        <v>474</v>
      </c>
    </row>
    <row r="1504">
      <c r="A1504" s="5">
        <f>HYPERLINK("https://www.oit.va.gov/Services/TRM/ToolPage.aspx?tid=9621^","MaxPro Log Software")</f>
      </c>
      <c r="B1504" s="4" t="s">
        <v>2082</v>
      </c>
      <c r="C1504" s="9" t="s">
        <v>6</v>
      </c>
      <c r="D1504" s="12" t="s">
        <v>2083</v>
      </c>
    </row>
    <row r="1505">
      <c r="A1505" s="5">
        <f>HYPERLINK("https://www.oit.va.gov/Services/TRM/ToolPage.aspx?tid=6044^","Med Display")</f>
      </c>
      <c r="B1505" s="4" t="s">
        <v>1229</v>
      </c>
      <c r="C1505" s="9" t="s">
        <v>6</v>
      </c>
      <c r="D1505" s="12" t="s">
        <v>2084</v>
      </c>
    </row>
    <row r="1506">
      <c r="A1506" s="5">
        <f>HYPERLINK("https://www.oit.va.gov/Services/TRM/ToolPage.aspx?tid=6050^","MedProx")</f>
      </c>
      <c r="B1506" s="4" t="s">
        <v>2085</v>
      </c>
      <c r="C1506" s="9" t="s">
        <v>6</v>
      </c>
      <c r="D1506" s="12" t="s">
        <v>2086</v>
      </c>
    </row>
    <row r="1507">
      <c r="A1507" s="5">
        <f>HYPERLINK("https://www.oit.va.gov/Services/TRM/ToolPage.aspx?tid=8010^","Mendeley")</f>
      </c>
      <c r="B1507" s="4" t="s">
        <v>2087</v>
      </c>
      <c r="C1507" s="9" t="s">
        <v>6</v>
      </c>
      <c r="D1507" s="12" t="s">
        <v>2088</v>
      </c>
    </row>
    <row r="1508">
      <c r="A1508" s="5">
        <f>HYPERLINK("https://www.oit.va.gov/Services/TRM/ToolPage.aspx?tid=5781^","Merge Eye Station")</f>
      </c>
      <c r="B1508" s="4" t="s">
        <v>2089</v>
      </c>
      <c r="C1508" s="9" t="s">
        <v>6</v>
      </c>
      <c r="D1508" s="12" t="s">
        <v>2090</v>
      </c>
    </row>
    <row r="1509">
      <c r="A1509" s="5">
        <f>HYPERLINK("https://www.oit.va.gov/Services/TRM/ToolPage.aspx?tid=14981^","Merge Hemo Client")</f>
      </c>
      <c r="B1509" s="4" t="s">
        <v>2089</v>
      </c>
      <c r="C1509" s="9" t="s">
        <v>6</v>
      </c>
      <c r="D1509" s="12" t="s">
        <v>2091</v>
      </c>
    </row>
    <row r="1510">
      <c r="A1510" s="5">
        <f>HYPERLINK("https://www.oit.va.gov/Services/TRM/ToolPage.aspx?tid=8273^","Midmark IQmanager")</f>
      </c>
      <c r="B1510" s="4" t="s">
        <v>2092</v>
      </c>
      <c r="C1510" s="9" t="s">
        <v>6</v>
      </c>
      <c r="D1510" s="12" t="s">
        <v>1402</v>
      </c>
    </row>
    <row r="1511">
      <c r="A1511" s="5">
        <f>HYPERLINK("https://www.oit.va.gov/Services/TRM/ToolPage.aspx?tid=6280^","Migration Manager for SharePoint")</f>
      </c>
      <c r="B1511" s="4" t="s">
        <v>68</v>
      </c>
      <c r="C1511" s="9" t="s">
        <v>6</v>
      </c>
      <c r="D1511" s="12" t="s">
        <v>1765</v>
      </c>
    </row>
    <row r="1512">
      <c r="A1512" s="5">
        <f>HYPERLINK("https://www.oit.va.gov/Services/TRM/ToolPage.aspx?tid=11460^","MikTex")</f>
      </c>
      <c r="B1512" s="4" t="s">
        <v>2093</v>
      </c>
      <c r="C1512" s="9" t="s">
        <v>6</v>
      </c>
      <c r="D1512" s="12" t="s">
        <v>2094</v>
      </c>
    </row>
    <row r="1513">
      <c r="A1513" s="5">
        <f>HYPERLINK("https://www.oit.va.gov/Services/TRM/ToolPage.aspx?tid=15550^","MIM Maestro")</f>
      </c>
      <c r="B1513" s="4" t="s">
        <v>2095</v>
      </c>
      <c r="C1513" s="9" t="s">
        <v>6</v>
      </c>
      <c r="D1513" s="12" t="s">
        <v>2096</v>
      </c>
    </row>
    <row r="1514">
      <c r="A1514" s="5">
        <f>HYPERLINK("https://www.oit.va.gov/Services/TRM/ToolPage.aspx?tid=14829^","Mirah")</f>
      </c>
      <c r="B1514" s="4" t="s">
        <v>2097</v>
      </c>
      <c r="C1514" s="9" t="s">
        <v>6</v>
      </c>
      <c r="D1514" s="12" t="s">
        <v>2098</v>
      </c>
    </row>
    <row r="1515">
      <c r="A1515" s="5">
        <f>HYPERLINK("https://www.oit.va.gov/Services/TRM/ToolPage.aspx?tid=6697^","MIS Enterprise")</f>
      </c>
      <c r="B1515" s="4" t="s">
        <v>2099</v>
      </c>
      <c r="C1515" s="9" t="s">
        <v>6</v>
      </c>
      <c r="D1515" s="12" t="s">
        <v>2100</v>
      </c>
    </row>
    <row r="1516">
      <c r="A1516" s="5">
        <f>HYPERLINK("https://www.oit.va.gov/Services/TRM/ToolPage.aspx?tid=16862^","Modula Warehouse Management System (WMS)")</f>
      </c>
      <c r="B1516" s="4" t="s">
        <v>2101</v>
      </c>
      <c r="C1516" s="9" t="s">
        <v>6</v>
      </c>
      <c r="D1516" s="12" t="s">
        <v>2102</v>
      </c>
    </row>
    <row r="1517">
      <c r="A1517" s="5">
        <f>HYPERLINK("https://www.oit.va.gov/Services/TRM/ToolPage.aspx?tid=8132^","Momentum Scheduler")</f>
      </c>
      <c r="B1517" s="4" t="s">
        <v>1818</v>
      </c>
      <c r="C1517" s="9" t="s">
        <v>6</v>
      </c>
      <c r="D1517" s="12" t="s">
        <v>2103</v>
      </c>
    </row>
    <row r="1518">
      <c r="A1518" s="5">
        <f>HYPERLINK("https://www.oit.va.gov/Services/TRM/ToolPage.aspx?tid=11062^","Moq")</f>
      </c>
      <c r="B1518" s="4" t="s">
        <v>2104</v>
      </c>
      <c r="C1518" s="9" t="s">
        <v>6</v>
      </c>
      <c r="D1518" s="12" t="s">
        <v>1232</v>
      </c>
    </row>
    <row r="1519">
      <c r="A1519" s="5">
        <f>HYPERLINK("https://www.oit.va.gov/Services/TRM/ToolPage.aspx?tid=16184^","Morpheus Urodynamics")</f>
      </c>
      <c r="B1519" s="4" t="s">
        <v>446</v>
      </c>
      <c r="C1519" s="9" t="s">
        <v>6</v>
      </c>
      <c r="D1519" s="12" t="s">
        <v>2105</v>
      </c>
    </row>
    <row r="1520">
      <c r="A1520" s="5">
        <f>HYPERLINK("https://www.oit.va.gov/Services/TRM/ToolPage.aspx?tid=10601^","Motion Software")</f>
      </c>
      <c r="B1520" s="4" t="s">
        <v>2106</v>
      </c>
      <c r="C1520" s="9" t="s">
        <v>6</v>
      </c>
      <c r="D1520" s="12" t="s">
        <v>2084</v>
      </c>
    </row>
    <row r="1521">
      <c r="A1521" s="5">
        <f>HYPERLINK("https://www.oit.va.gov/Services/TRM/ToolPage.aspx?tid=13928^","MouseJ")</f>
      </c>
      <c r="B1521" s="4" t="s">
        <v>2107</v>
      </c>
      <c r="C1521" s="9" t="s">
        <v>6</v>
      </c>
      <c r="D1521" s="12" t="s">
        <v>2108</v>
      </c>
    </row>
    <row r="1522">
      <c r="A1522" s="5">
        <f>HYPERLINK("https://www.oit.va.gov/Services/TRM/ToolPage.aspx?tid=13229^","NanoDrop 1000 Software")</f>
      </c>
      <c r="B1522" s="4" t="s">
        <v>716</v>
      </c>
      <c r="C1522" s="9" t="s">
        <v>6</v>
      </c>
      <c r="D1522" s="12" t="s">
        <v>2109</v>
      </c>
    </row>
    <row r="1523">
      <c r="A1523" s="5">
        <f>HYPERLINK("https://www.oit.va.gov/Services/TRM/ToolPage.aspx?tid=15728^","Nanodrop 2000/2000c software")</f>
      </c>
      <c r="B1523" s="4" t="s">
        <v>716</v>
      </c>
      <c r="C1523" s="9" t="s">
        <v>6</v>
      </c>
      <c r="D1523" s="12" t="s">
        <v>1237</v>
      </c>
    </row>
    <row r="1524">
      <c r="A1524" s="5">
        <f>HYPERLINK("https://www.oit.va.gov/Services/TRM/ToolPage.aspx?tid=9680^","Natural")</f>
      </c>
      <c r="B1524" s="4" t="s">
        <v>2110</v>
      </c>
      <c r="C1524" s="9" t="s">
        <v>6</v>
      </c>
      <c r="D1524" s="12" t="s">
        <v>1566</v>
      </c>
    </row>
    <row r="1525">
      <c r="A1525" s="5">
        <f>HYPERLINK("https://www.oit.va.gov/Services/TRM/ToolPage.aspx?tid=6435^","NaturalReader")</f>
      </c>
      <c r="B1525" s="4" t="s">
        <v>2111</v>
      </c>
      <c r="C1525" s="9" t="s">
        <v>6</v>
      </c>
      <c r="D1525" s="12" t="s">
        <v>2112</v>
      </c>
    </row>
    <row r="1526">
      <c r="A1526" s="5">
        <f>HYPERLINK("https://www.oit.va.gov/Services/TRM/ToolPage.aspx?tid=13427^","Nelson Email Organizer (NEO) Pro")</f>
      </c>
      <c r="B1526" s="4" t="s">
        <v>2113</v>
      </c>
      <c r="C1526" s="9" t="s">
        <v>6</v>
      </c>
      <c r="D1526" s="12" t="s">
        <v>354</v>
      </c>
    </row>
    <row r="1527">
      <c r="A1527" s="5">
        <f>HYPERLINK("https://www.oit.va.gov/Services/TRM/ToolPage.aspx?tid=8779^","Network Topology Mapper (NTM)")</f>
      </c>
      <c r="B1527" s="4" t="s">
        <v>431</v>
      </c>
      <c r="C1527" s="9" t="s">
        <v>6</v>
      </c>
      <c r="D1527" s="12" t="s">
        <v>27</v>
      </c>
    </row>
    <row r="1528">
      <c r="A1528" s="5">
        <f>HYPERLINK("https://www.oit.va.gov/Services/TRM/ToolPage.aspx?tid=8780^","NeuLog Software")</f>
      </c>
      <c r="B1528" s="4" t="s">
        <v>2114</v>
      </c>
      <c r="C1528" s="9" t="s">
        <v>6</v>
      </c>
      <c r="D1528" s="12" t="s">
        <v>2115</v>
      </c>
    </row>
    <row r="1529">
      <c r="A1529" s="5">
        <f>HYPERLINK("https://www.oit.va.gov/Services/TRM/ToolPage.aspx?tid=8203^","NeuralTools")</f>
      </c>
      <c r="B1529" s="4" t="s">
        <v>1750</v>
      </c>
      <c r="C1529" s="9" t="s">
        <v>6</v>
      </c>
      <c r="D1529" s="12" t="s">
        <v>2116</v>
      </c>
    </row>
    <row r="1530">
      <c r="A1530" s="5">
        <f>HYPERLINK("https://www.oit.va.gov/Services/TRM/ToolPage.aspx?tid=9908^","NeuroFit")</f>
      </c>
      <c r="B1530" s="4" t="s">
        <v>2117</v>
      </c>
      <c r="C1530" s="9" t="s">
        <v>6</v>
      </c>
      <c r="D1530" s="12" t="s">
        <v>2118</v>
      </c>
    </row>
    <row r="1531">
      <c r="A1531" s="5">
        <f>HYPERLINK("https://www.oit.va.gov/Services/TRM/ToolPage.aspx?tid=7814^","Nicolet NicVue Connect")</f>
      </c>
      <c r="B1531" s="4" t="s">
        <v>495</v>
      </c>
      <c r="C1531" s="9" t="s">
        <v>6</v>
      </c>
      <c r="D1531" s="12" t="s">
        <v>2119</v>
      </c>
    </row>
    <row r="1532">
      <c r="A1532" s="5">
        <f>HYPERLINK("https://www.oit.va.gov/Services/TRM/ToolPage.aspx?tid=7815^","Nicolet NicVue Software")</f>
      </c>
      <c r="B1532" s="4" t="s">
        <v>495</v>
      </c>
      <c r="C1532" s="9" t="s">
        <v>6</v>
      </c>
      <c r="D1532" s="12" t="s">
        <v>2119</v>
      </c>
    </row>
    <row r="1533">
      <c r="A1533" s="5">
        <f>HYPERLINK("https://www.oit.va.gov/Services/TRM/ToolPage.aspx?tid=15236^","Nintex Robotic Process Automation (RPA)")</f>
      </c>
      <c r="B1533" s="4" t="s">
        <v>641</v>
      </c>
      <c r="C1533" s="9" t="s">
        <v>6</v>
      </c>
      <c r="D1533" s="12" t="s">
        <v>2120</v>
      </c>
    </row>
    <row r="1534">
      <c r="A1534" s="5">
        <f>HYPERLINK("https://www.oit.va.gov/Services/TRM/ToolPage.aspx?tid=15923^","NIOX Panel")</f>
      </c>
      <c r="B1534" s="4" t="s">
        <v>1283</v>
      </c>
      <c r="C1534" s="9" t="s">
        <v>6</v>
      </c>
      <c r="D1534" s="12" t="s">
        <v>1284</v>
      </c>
    </row>
    <row r="1535">
      <c r="A1535" s="5">
        <f>HYPERLINK("https://www.oit.va.gov/Services/TRM/ToolPage.aspx?tid=6078^","Nitro Pro")</f>
      </c>
      <c r="B1535" s="4" t="s">
        <v>2121</v>
      </c>
      <c r="C1535" s="9" t="s">
        <v>6</v>
      </c>
      <c r="D1535" s="12" t="s">
        <v>2122</v>
      </c>
    </row>
    <row r="1536">
      <c r="A1536" s="5">
        <f>HYPERLINK("https://www.oit.va.gov/Services/TRM/ToolPage.aspx?tid=6020^","NOAH Journal Module")</f>
      </c>
      <c r="B1536" s="4" t="s">
        <v>1286</v>
      </c>
      <c r="C1536" s="9" t="s">
        <v>6</v>
      </c>
      <c r="D1536" s="12" t="s">
        <v>2123</v>
      </c>
    </row>
    <row r="1537">
      <c r="A1537" s="5">
        <f>HYPERLINK("https://www.oit.va.gov/Services/TRM/ToolPage.aspx?tid=13856^","Node-mssql")</f>
      </c>
      <c r="B1537" s="4" t="s">
        <v>2124</v>
      </c>
      <c r="C1537" s="9" t="s">
        <v>6</v>
      </c>
      <c r="D1537" s="12" t="s">
        <v>2119</v>
      </c>
    </row>
    <row r="1538">
      <c r="A1538" s="5">
        <f>HYPERLINK("https://www.oit.va.gov/Services/TRM/ToolPage.aspx?tid=14142^","Non Parametric (NPC) Tools")</f>
      </c>
      <c r="B1538" s="4" t="s">
        <v>2125</v>
      </c>
      <c r="C1538" s="9" t="s">
        <v>6</v>
      </c>
      <c r="D1538" s="12" t="s">
        <v>2123</v>
      </c>
    </row>
    <row r="1539">
      <c r="A1539" s="5">
        <f>HYPERLINK("https://www.oit.va.gov/Services/TRM/ToolPage.aspx?tid=6436^","NUnit")</f>
      </c>
      <c r="B1539" s="4" t="s">
        <v>2126</v>
      </c>
      <c r="C1539" s="9" t="s">
        <v>6</v>
      </c>
      <c r="D1539" s="12" t="s">
        <v>204</v>
      </c>
    </row>
    <row r="1540">
      <c r="A1540" s="5">
        <f>HYPERLINK("https://www.oit.va.gov/Services/TRM/ToolPage.aspx?tid=7924^","Nutritionist Pro Diet Analysis")</f>
      </c>
      <c r="B1540" s="4" t="s">
        <v>2127</v>
      </c>
      <c r="C1540" s="9" t="s">
        <v>6</v>
      </c>
      <c r="D1540" s="12" t="s">
        <v>2128</v>
      </c>
    </row>
    <row r="1541">
      <c r="A1541" s="5">
        <f>HYPERLINK("https://www.oit.va.gov/Services/TRM/ToolPage.aspx?tid=8051^","OAT Foundation Suite")</f>
      </c>
      <c r="B1541" s="4" t="s">
        <v>2129</v>
      </c>
      <c r="C1541" s="9" t="s">
        <v>6</v>
      </c>
      <c r="D1541" s="12" t="s">
        <v>2123</v>
      </c>
    </row>
    <row r="1542">
      <c r="A1542" s="5">
        <f>HYPERLINK("https://www.oit.va.gov/Services/TRM/ToolPage.aspx?tid=13813^","ODBC Driver for MySQL")</f>
      </c>
      <c r="B1542" s="4" t="s">
        <v>962</v>
      </c>
      <c r="C1542" s="9" t="s">
        <v>6</v>
      </c>
      <c r="D1542" s="12" t="s">
        <v>2130</v>
      </c>
    </row>
    <row r="1543">
      <c r="A1543" s="5">
        <f>HYPERLINK("https://www.oit.va.gov/Services/TRM/ToolPage.aspx?tid=13534^","OLEtools")</f>
      </c>
      <c r="B1543" s="4" t="s">
        <v>2131</v>
      </c>
      <c r="C1543" s="9" t="s">
        <v>6</v>
      </c>
      <c r="D1543" s="12" t="s">
        <v>2132</v>
      </c>
    </row>
    <row r="1544">
      <c r="A1544" s="5">
        <f>HYPERLINK("https://www.oit.va.gov/Services/TRM/ToolPage.aspx?tid=7196^","OneSight")</f>
      </c>
      <c r="B1544" s="4" t="s">
        <v>2133</v>
      </c>
      <c r="C1544" s="9" t="s">
        <v>6</v>
      </c>
      <c r="D1544" s="12" t="s">
        <v>2134</v>
      </c>
    </row>
    <row r="1545">
      <c r="A1545" s="5">
        <f>HYPERLINK("https://www.oit.va.gov/Services/TRM/ToolPage.aspx?tid=9842^","OneSite")</f>
      </c>
      <c r="B1545" s="4" t="s">
        <v>2135</v>
      </c>
      <c r="C1545" s="9" t="s">
        <v>6</v>
      </c>
      <c r="D1545" s="12" t="s">
        <v>2136</v>
      </c>
    </row>
    <row r="1546">
      <c r="A1546" s="5">
        <f>HYPERLINK("https://www.oit.va.gov/Services/TRM/ToolPage.aspx?tid=9407^","OneTouch Zoom Pro")</f>
      </c>
      <c r="B1546" s="4" t="s">
        <v>2137</v>
      </c>
      <c r="C1546" s="9" t="s">
        <v>6</v>
      </c>
      <c r="D1546" s="12" t="s">
        <v>2138</v>
      </c>
    </row>
    <row r="1547">
      <c r="A1547" s="5">
        <f>HYPERLINK("https://www.oit.va.gov/Services/TRM/ToolPage.aspx?tid=13861^","Open Migrator/LM")</f>
      </c>
      <c r="B1547" s="4" t="s">
        <v>185</v>
      </c>
      <c r="C1547" s="9" t="s">
        <v>6</v>
      </c>
      <c r="D1547" s="12" t="s">
        <v>2139</v>
      </c>
    </row>
    <row r="1548">
      <c r="A1548" s="5">
        <f>HYPERLINK("https://www.oit.va.gov/Services/TRM/ToolPage.aspx?tid=10662^","open-Source Media Interpretation by Large feature-space Extraction (openSMILE)")</f>
      </c>
      <c r="B1548" s="4" t="s">
        <v>2140</v>
      </c>
      <c r="C1548" s="9" t="s">
        <v>6</v>
      </c>
      <c r="D1548" s="12" t="s">
        <v>1182</v>
      </c>
    </row>
    <row r="1549">
      <c r="A1549" s="5">
        <f>HYPERLINK("https://www.oit.va.gov/Services/TRM/ToolPage.aspx?tid=8309^","Opsi Foot Scanner Software")</f>
      </c>
      <c r="B1549" s="4" t="s">
        <v>2141</v>
      </c>
      <c r="C1549" s="9" t="s">
        <v>6</v>
      </c>
      <c r="D1549" s="12" t="s">
        <v>2142</v>
      </c>
    </row>
    <row r="1550">
      <c r="A1550" s="5">
        <f>HYPERLINK("https://www.oit.va.gov/Services/TRM/ToolPage.aspx?tid=14646^","Optility")</f>
      </c>
      <c r="B1550" s="4" t="s">
        <v>2143</v>
      </c>
      <c r="C1550" s="9" t="s">
        <v>6</v>
      </c>
      <c r="D1550" s="12" t="s">
        <v>821</v>
      </c>
    </row>
    <row r="1551">
      <c r="A1551" s="5">
        <f>HYPERLINK("https://www.oit.va.gov/Services/TRM/ToolPage.aspx?tid=9751^","OptionPower")</f>
      </c>
      <c r="B1551" s="4" t="s">
        <v>2144</v>
      </c>
      <c r="C1551" s="9" t="s">
        <v>6</v>
      </c>
      <c r="D1551" s="12" t="s">
        <v>2145</v>
      </c>
    </row>
    <row r="1552">
      <c r="A1552" s="5">
        <f>HYPERLINK("https://www.oit.va.gov/Services/TRM/ToolPage.aspx?tid=11268^","OQ-Analyst")</f>
      </c>
      <c r="B1552" s="4" t="s">
        <v>2146</v>
      </c>
      <c r="C1552" s="9" t="s">
        <v>6</v>
      </c>
      <c r="D1552" s="12" t="s">
        <v>1885</v>
      </c>
    </row>
    <row r="1553">
      <c r="A1553" s="5">
        <f>HYPERLINK("https://www.oit.va.gov/Services/TRM/ToolPage.aspx?tid=7547^","Oracle Business Intelligence Enterprise Edition (OBIEE)")</f>
      </c>
      <c r="B1553" s="4" t="s">
        <v>136</v>
      </c>
      <c r="C1553" s="9" t="s">
        <v>6</v>
      </c>
      <c r="D1553" s="12" t="s">
        <v>2147</v>
      </c>
    </row>
    <row r="1554">
      <c r="A1554" s="5">
        <f>HYPERLINK("https://www.oit.va.gov/Services/TRM/ToolPage.aspx?tid=11313^","Oracle Hyperion Planning")</f>
      </c>
      <c r="B1554" s="4" t="s">
        <v>136</v>
      </c>
      <c r="C1554" s="9" t="s">
        <v>6</v>
      </c>
      <c r="D1554" s="12" t="s">
        <v>476</v>
      </c>
    </row>
    <row r="1555">
      <c r="A1555" s="5">
        <f>HYPERLINK("https://www.oit.va.gov/Services/TRM/ToolPage.aspx?tid=14517^","Orchestrator Integration Pack for Computer Associates (CA) Service Desk")</f>
      </c>
      <c r="B1555" s="4" t="s">
        <v>655</v>
      </c>
      <c r="C1555" s="9" t="s">
        <v>6</v>
      </c>
      <c r="D1555" s="12" t="s">
        <v>2148</v>
      </c>
    </row>
    <row r="1556">
      <c r="A1556" s="5">
        <f>HYPERLINK("https://www.oit.va.gov/Services/TRM/ToolPage.aspx?tid=8674^","OrgChart for Visio")</f>
      </c>
      <c r="B1556" s="4" t="s">
        <v>1322</v>
      </c>
      <c r="C1556" s="9" t="s">
        <v>6</v>
      </c>
      <c r="D1556" s="12" t="s">
        <v>590</v>
      </c>
    </row>
    <row r="1557">
      <c r="A1557" s="5">
        <f>HYPERLINK("https://www.oit.va.gov/Services/TRM/ToolPage.aspx?tid=9317^","PainCAS (Clinical Assessment System)")</f>
      </c>
      <c r="B1557" s="4" t="s">
        <v>770</v>
      </c>
      <c r="C1557" s="9" t="s">
        <v>6</v>
      </c>
      <c r="D1557" s="12" t="s">
        <v>1282</v>
      </c>
    </row>
    <row r="1558">
      <c r="A1558" s="5">
        <f>HYPERLINK("https://www.oit.va.gov/Services/TRM/ToolPage.aspx?tid=8204^","Palisade DecisionTools")</f>
      </c>
      <c r="B1558" s="4" t="s">
        <v>1750</v>
      </c>
      <c r="C1558" s="9" t="s">
        <v>6</v>
      </c>
      <c r="D1558" s="12" t="s">
        <v>2149</v>
      </c>
    </row>
    <row r="1559">
      <c r="A1559" s="5">
        <f>HYPERLINK("https://www.oit.va.gov/Services/TRM/ToolPage.aspx?tid=11097^","Panasonic FP Connect")</f>
      </c>
      <c r="B1559" s="4" t="s">
        <v>2150</v>
      </c>
      <c r="C1559" s="9" t="s">
        <v>6</v>
      </c>
      <c r="D1559" s="12" t="s">
        <v>2151</v>
      </c>
    </row>
    <row r="1560">
      <c r="A1560" s="5">
        <f>HYPERLINK("https://www.oit.va.gov/Services/TRM/ToolPage.aspx?tid=10560^","Pandoc")</f>
      </c>
      <c r="B1560" s="4" t="s">
        <v>2152</v>
      </c>
      <c r="C1560" s="9" t="s">
        <v>6</v>
      </c>
      <c r="D1560" s="12" t="s">
        <v>2153</v>
      </c>
    </row>
    <row r="1561">
      <c r="A1561" s="5">
        <f>HYPERLINK("https://www.oit.va.gov/Services/TRM/ToolPage.aspx?tid=6918^","Password Management Toolkit")</f>
      </c>
      <c r="B1561" s="4" t="s">
        <v>2154</v>
      </c>
      <c r="C1561" s="9" t="s">
        <v>6</v>
      </c>
      <c r="D1561" s="12" t="s">
        <v>2155</v>
      </c>
    </row>
    <row r="1562">
      <c r="A1562" s="5">
        <f>HYPERLINK("https://www.oit.va.gov/Services/TRM/ToolPage.aspx?tid=13475^","PDF (Portable Document Format) Writer")</f>
      </c>
      <c r="B1562" s="4" t="s">
        <v>2156</v>
      </c>
      <c r="C1562" s="9" t="s">
        <v>6</v>
      </c>
      <c r="D1562" s="12" t="s">
        <v>2157</v>
      </c>
    </row>
    <row r="1563">
      <c r="A1563" s="5">
        <f>HYPERLINK("https://www.oit.va.gov/Services/TRM/ToolPage.aspx?tid=10011^","PDF Share Forms Enterprise")</f>
      </c>
      <c r="B1563" s="4" t="s">
        <v>2158</v>
      </c>
      <c r="C1563" s="9" t="s">
        <v>6</v>
      </c>
      <c r="D1563" s="12" t="s">
        <v>2159</v>
      </c>
    </row>
    <row r="1564">
      <c r="A1564" s="5">
        <f>HYPERLINK("https://www.oit.va.gov/Services/TRM/ToolPage.aspx?tid=13851^","PeaZip")</f>
      </c>
      <c r="B1564" s="4" t="s">
        <v>2160</v>
      </c>
      <c r="C1564" s="9" t="s">
        <v>6</v>
      </c>
      <c r="D1564" s="12" t="s">
        <v>2161</v>
      </c>
    </row>
    <row r="1565">
      <c r="A1565" s="5">
        <f>HYPERLINK("https://www.oit.va.gov/Services/TRM/ToolPage.aspx?tid=9226^","Perceptive Reach Integrated Reach Database System (IRDS)")</f>
      </c>
      <c r="B1565" s="4" t="s">
        <v>2162</v>
      </c>
      <c r="C1565" s="9" t="s">
        <v>6</v>
      </c>
      <c r="D1565" s="12" t="s">
        <v>2163</v>
      </c>
    </row>
    <row r="1566">
      <c r="A1566" s="5">
        <f>HYPERLINK("https://www.oit.va.gov/Services/TRM/ToolPage.aspx?tid=16881^","Phoenix SQL Lite Fuel Management Software")</f>
      </c>
      <c r="B1566" s="4" t="s">
        <v>2164</v>
      </c>
      <c r="C1566" s="9" t="s">
        <v>6</v>
      </c>
      <c r="D1566" s="12" t="s">
        <v>2165</v>
      </c>
    </row>
    <row r="1567">
      <c r="A1567" s="5">
        <f>HYPERLINK("https://www.oit.va.gov/Services/TRM/ToolPage.aspx?tid=13607^","Physical Work Performance Evaluation (PWPE)")</f>
      </c>
      <c r="B1567" s="4" t="s">
        <v>2166</v>
      </c>
      <c r="C1567" s="9" t="s">
        <v>6</v>
      </c>
      <c r="D1567" s="12" t="s">
        <v>2167</v>
      </c>
    </row>
    <row r="1568">
      <c r="A1568" s="5">
        <f>HYPERLINK("https://www.oit.va.gov/Services/TRM/ToolPage.aspx?tid=6991^","Picis Perioperative Solutions")</f>
      </c>
      <c r="B1568" s="4" t="s">
        <v>1360</v>
      </c>
      <c r="C1568" s="9" t="s">
        <v>6</v>
      </c>
      <c r="D1568" s="12" t="s">
        <v>2168</v>
      </c>
    </row>
    <row r="1569">
      <c r="A1569" s="5">
        <f>HYPERLINK("https://www.oit.va.gov/Services/TRM/ToolPage.aspx?tid=7427^","PictZar Pro")</f>
      </c>
      <c r="B1569" s="4" t="s">
        <v>2169</v>
      </c>
      <c r="C1569" s="9" t="s">
        <v>6</v>
      </c>
      <c r="D1569" s="12" t="s">
        <v>1433</v>
      </c>
    </row>
    <row r="1570">
      <c r="A1570" s="5">
        <f>HYPERLINK("https://www.oit.va.gov/Services/TRM/ToolPage.aspx?tid=7086^","Plexis Quantum Choice")</f>
      </c>
      <c r="B1570" s="4" t="s">
        <v>1372</v>
      </c>
      <c r="C1570" s="9" t="s">
        <v>6</v>
      </c>
      <c r="D1570" s="12" t="s">
        <v>174</v>
      </c>
    </row>
    <row r="1571">
      <c r="A1571" s="5">
        <f>HYPERLINK("https://www.oit.va.gov/Services/TRM/ToolPage.aspx?tid=8979^","Poll Everywhere Enterprise for Windows")</f>
      </c>
      <c r="B1571" s="4" t="s">
        <v>409</v>
      </c>
      <c r="C1571" s="9" t="s">
        <v>6</v>
      </c>
      <c r="D1571" s="12" t="s">
        <v>2170</v>
      </c>
    </row>
    <row r="1572">
      <c r="A1572" s="5">
        <f>HYPERLINK("https://www.oit.va.gov/Services/TRM/ToolPage.aspx?tid=13737^","Ponemah")</f>
      </c>
      <c r="B1572" s="4" t="s">
        <v>2171</v>
      </c>
      <c r="C1572" s="9" t="s">
        <v>6</v>
      </c>
      <c r="D1572" s="12" t="s">
        <v>2172</v>
      </c>
    </row>
    <row r="1573">
      <c r="A1573" s="5">
        <f>HYPERLINK("https://www.oit.va.gov/Services/TRM/ToolPage.aspx?tid=14784^","Portable Document Format (PDF) Complete")</f>
      </c>
      <c r="B1573" s="4" t="s">
        <v>2173</v>
      </c>
      <c r="C1573" s="9" t="s">
        <v>6</v>
      </c>
      <c r="D1573" s="12" t="s">
        <v>1832</v>
      </c>
    </row>
    <row r="1574">
      <c r="A1574" s="5">
        <f>HYPERLINK("https://www.oit.va.gov/Services/TRM/ToolPage.aspx?tid=15147^","Power BI Reports Scheduler (PBRS)")</f>
      </c>
      <c r="B1574" s="4" t="s">
        <v>2174</v>
      </c>
      <c r="C1574" s="9" t="s">
        <v>6</v>
      </c>
      <c r="D1574" s="12" t="s">
        <v>2175</v>
      </c>
    </row>
    <row r="1575">
      <c r="A1575" s="5">
        <f>HYPERLINK("https://www.oit.va.gov/Services/TRM/ToolPage.aspx?tid=9752^","PowerMockup")</f>
      </c>
      <c r="B1575" s="4" t="s">
        <v>2176</v>
      </c>
      <c r="C1575" s="9" t="s">
        <v>6</v>
      </c>
      <c r="D1575" s="12" t="s">
        <v>2177</v>
      </c>
    </row>
    <row r="1576">
      <c r="A1576" s="5">
        <f>HYPERLINK("https://www.oit.va.gov/Services/TRM/ToolPage.aspx?tid=10043^","PowerPoint vote (ppvote)")</f>
      </c>
      <c r="B1576" s="4" t="s">
        <v>2178</v>
      </c>
      <c r="C1576" s="9" t="s">
        <v>6</v>
      </c>
      <c r="D1576" s="12" t="s">
        <v>2179</v>
      </c>
    </row>
    <row r="1577">
      <c r="A1577" s="5">
        <f>HYPERLINK("https://www.oit.va.gov/Services/TRM/ToolPage.aspx?tid=8205^","PrecisionTree")</f>
      </c>
      <c r="B1577" s="4" t="s">
        <v>2180</v>
      </c>
      <c r="C1577" s="9" t="s">
        <v>6</v>
      </c>
      <c r="D1577" s="12" t="s">
        <v>2181</v>
      </c>
    </row>
    <row r="1578">
      <c r="A1578" s="5">
        <f>HYPERLINK("https://www.oit.va.gov/Services/TRM/ToolPage.aspx?tid=14559^","PresentationPoint PlanPoint")</f>
      </c>
      <c r="B1578" s="4" t="s">
        <v>2182</v>
      </c>
      <c r="C1578" s="9" t="s">
        <v>6</v>
      </c>
      <c r="D1578" s="12" t="s">
        <v>2183</v>
      </c>
    </row>
    <row r="1579">
      <c r="A1579" s="5">
        <f>HYPERLINK("https://www.oit.va.gov/Services/TRM/ToolPage.aspx?tid=11426^","Pro File Transfer Protocol Daemon (ProFTPD)")</f>
      </c>
      <c r="B1579" s="4" t="s">
        <v>2184</v>
      </c>
      <c r="C1579" s="9" t="s">
        <v>6</v>
      </c>
      <c r="D1579" s="12" t="s">
        <v>2185</v>
      </c>
    </row>
    <row r="1580">
      <c r="A1580" s="5">
        <f>HYPERLINK("https://www.oit.va.gov/Services/TRM/ToolPage.aspx?tid=11655^","ProFuse")</f>
      </c>
      <c r="B1580" s="4" t="s">
        <v>2186</v>
      </c>
      <c r="C1580" s="9" t="s">
        <v>6</v>
      </c>
      <c r="D1580" s="12" t="s">
        <v>717</v>
      </c>
    </row>
    <row r="1581">
      <c r="A1581" s="5">
        <f>HYPERLINK("https://www.oit.va.gov/Services/TRM/ToolPage.aspx?tid=7096^","Project Management (PM) Central")</f>
      </c>
      <c r="B1581" s="4" t="s">
        <v>2154</v>
      </c>
      <c r="C1581" s="9" t="s">
        <v>6</v>
      </c>
      <c r="D1581" s="12" t="s">
        <v>2187</v>
      </c>
    </row>
    <row r="1582">
      <c r="A1582" s="5">
        <f>HYPERLINK("https://www.oit.va.gov/Services/TRM/ToolPage.aspx?tid=7605^","Psychopathy Checklist-Revised (PCL-R) 2nd Edition")</f>
      </c>
      <c r="B1582" s="4" t="s">
        <v>1877</v>
      </c>
      <c r="C1582" s="9" t="s">
        <v>6</v>
      </c>
      <c r="D1582" s="12" t="s">
        <v>2188</v>
      </c>
    </row>
    <row r="1583">
      <c r="A1583" s="5">
        <f>HYPERLINK("https://www.oit.va.gov/Services/TRM/ToolPage.aspx?tid=8528^","PureApplication")</f>
      </c>
      <c r="B1583" s="4" t="s">
        <v>233</v>
      </c>
      <c r="C1583" s="9" t="s">
        <v>6</v>
      </c>
      <c r="D1583" s="12" t="s">
        <v>2189</v>
      </c>
    </row>
    <row r="1584">
      <c r="A1584" s="5">
        <f>HYPERLINK("https://www.oit.va.gov/Services/TRM/ToolPage.aspx?tid=7062^","Pyxis Medication Administration Verification")</f>
      </c>
      <c r="B1584" s="4" t="s">
        <v>2190</v>
      </c>
      <c r="C1584" s="9" t="s">
        <v>6</v>
      </c>
      <c r="D1584" s="12" t="s">
        <v>2191</v>
      </c>
    </row>
    <row r="1585">
      <c r="A1585" s="5">
        <f>HYPERLINK("https://www.oit.va.gov/Services/TRM/ToolPage.aspx?tid=7063^","Pyxis Nursing Data Collection")</f>
      </c>
      <c r="B1585" s="4" t="s">
        <v>2190</v>
      </c>
      <c r="C1585" s="9" t="s">
        <v>6</v>
      </c>
      <c r="D1585" s="12" t="s">
        <v>2192</v>
      </c>
    </row>
    <row r="1586">
      <c r="A1586" s="5">
        <f>HYPERLINK("https://www.oit.va.gov/Services/TRM/ToolPage.aspx?tid=7064^","Pyxis Specimen Collection Verification")</f>
      </c>
      <c r="B1586" s="4" t="s">
        <v>2190</v>
      </c>
      <c r="C1586" s="9" t="s">
        <v>6</v>
      </c>
      <c r="D1586" s="12" t="s">
        <v>2193</v>
      </c>
    </row>
    <row r="1587">
      <c r="A1587" s="5">
        <f>HYPERLINK("https://www.oit.va.gov/Services/TRM/ToolPage.aspx?tid=7065^","Pyxis Transfusion Verification")</f>
      </c>
      <c r="B1587" s="4" t="s">
        <v>2190</v>
      </c>
      <c r="C1587" s="9" t="s">
        <v>6</v>
      </c>
      <c r="D1587" s="12" t="s">
        <v>2194</v>
      </c>
    </row>
    <row r="1588">
      <c r="A1588" s="5">
        <f>HYPERLINK("https://www.oit.va.gov/Services/TRM/ToolPage.aspx?tid=9566^","Qclick Audience Response System (ARS)")</f>
      </c>
      <c r="B1588" s="4" t="s">
        <v>2195</v>
      </c>
      <c r="C1588" s="9" t="s">
        <v>6</v>
      </c>
      <c r="D1588" s="12" t="s">
        <v>2196</v>
      </c>
    </row>
    <row r="1589">
      <c r="A1589" s="5">
        <f>HYPERLINK("https://www.oit.va.gov/Services/TRM/ToolPage.aspx?tid=13367^","Qpath")</f>
      </c>
      <c r="B1589" s="4" t="s">
        <v>2197</v>
      </c>
      <c r="C1589" s="9" t="s">
        <v>6</v>
      </c>
      <c r="D1589" s="12" t="s">
        <v>2198</v>
      </c>
    </row>
    <row r="1590">
      <c r="A1590" s="5">
        <f>HYPERLINK("https://www.oit.va.gov/Services/TRM/ToolPage.aspx?tid=8006^","qRules")</f>
      </c>
      <c r="B1590" s="4" t="s">
        <v>2199</v>
      </c>
      <c r="C1590" s="9" t="s">
        <v>6</v>
      </c>
      <c r="D1590" s="12" t="s">
        <v>2200</v>
      </c>
    </row>
    <row r="1591">
      <c r="A1591" s="5">
        <f>HYPERLINK("https://www.oit.va.gov/Services/TRM/ToolPage.aspx?tid=10253^","Q-Station")</f>
      </c>
      <c r="B1591" s="4" t="s">
        <v>919</v>
      </c>
      <c r="C1591" s="9" t="s">
        <v>6</v>
      </c>
      <c r="D1591" s="12" t="s">
        <v>2201</v>
      </c>
    </row>
    <row r="1592">
      <c r="A1592" s="5">
        <f>HYPERLINK("https://www.oit.va.gov/Services/TRM/ToolPage.aspx?tid=7237^","QtracVR Virtual Queuing System")</f>
      </c>
      <c r="B1592" s="4" t="s">
        <v>2202</v>
      </c>
      <c r="C1592" s="9" t="s">
        <v>6</v>
      </c>
      <c r="D1592" s="12" t="s">
        <v>2203</v>
      </c>
    </row>
    <row r="1593">
      <c r="A1593" s="5">
        <f>HYPERLINK("https://www.oit.va.gov/Services/TRM/ToolPage.aspx?tid=9540^","Quality Indicators (QI) Windows")</f>
      </c>
      <c r="B1593" s="4" t="s">
        <v>1395</v>
      </c>
      <c r="C1593" s="9" t="s">
        <v>6</v>
      </c>
      <c r="D1593" s="12" t="s">
        <v>2200</v>
      </c>
    </row>
    <row r="1594">
      <c r="A1594" s="5">
        <f>HYPERLINK("https://www.oit.va.gov/Services/TRM/ToolPage.aspx?tid=5000^","Quartz Job Scheduler")</f>
      </c>
      <c r="B1594" s="4" t="s">
        <v>2204</v>
      </c>
      <c r="C1594" s="9" t="s">
        <v>6</v>
      </c>
      <c r="D1594" s="12" t="s">
        <v>2205</v>
      </c>
    </row>
    <row r="1595">
      <c r="A1595" s="5">
        <f>HYPERLINK("https://www.oit.va.gov/Services/TRM/ToolPage.aspx?tid=14240^","QuerySurge")</f>
      </c>
      <c r="B1595" s="4" t="s">
        <v>2206</v>
      </c>
      <c r="C1595" s="9" t="s">
        <v>6</v>
      </c>
      <c r="D1595" s="12" t="s">
        <v>2207</v>
      </c>
    </row>
    <row r="1596">
      <c r="A1596" s="5">
        <f>HYPERLINK("https://www.oit.va.gov/Services/TRM/ToolPage.aspx?tid=13535^","QueueExplorer")</f>
      </c>
      <c r="B1596" s="4" t="s">
        <v>2208</v>
      </c>
      <c r="C1596" s="9" t="s">
        <v>6</v>
      </c>
      <c r="D1596" s="12" t="s">
        <v>2209</v>
      </c>
    </row>
    <row r="1597">
      <c r="A1597" s="5">
        <f>HYPERLINK("https://www.oit.va.gov/Services/TRM/ToolPage.aspx?tid=15034^","QuickMAR")</f>
      </c>
      <c r="B1597" s="4" t="s">
        <v>2210</v>
      </c>
      <c r="C1597" s="9" t="s">
        <v>6</v>
      </c>
      <c r="D1597" s="12" t="s">
        <v>2211</v>
      </c>
    </row>
    <row r="1598">
      <c r="A1598" s="5">
        <f>HYPERLINK("https://www.oit.va.gov/Services/TRM/ToolPage.aspx?tid=15170^","Radiance")</f>
      </c>
      <c r="B1598" s="4" t="s">
        <v>2212</v>
      </c>
      <c r="C1598" s="9" t="s">
        <v>6</v>
      </c>
      <c r="D1598" s="12" t="s">
        <v>2213</v>
      </c>
    </row>
    <row r="1599">
      <c r="A1599" s="5">
        <f>HYPERLINK("https://www.oit.va.gov/Services/TRM/ToolPage.aspx?tid=11536^","RealView Visual Workflow Management Software")</f>
      </c>
      <c r="B1599" s="4" t="s">
        <v>758</v>
      </c>
      <c r="C1599" s="9" t="s">
        <v>6</v>
      </c>
      <c r="D1599" s="12" t="s">
        <v>2214</v>
      </c>
    </row>
    <row r="1600">
      <c r="A1600" s="5">
        <f>HYPERLINK("https://www.oit.va.gov/Services/TRM/ToolPage.aspx?tid=15269^","Recover My Email")</f>
      </c>
      <c r="B1600" s="4" t="s">
        <v>2215</v>
      </c>
      <c r="C1600" s="9" t="s">
        <v>6</v>
      </c>
      <c r="D1600" s="12" t="s">
        <v>2216</v>
      </c>
    </row>
    <row r="1601">
      <c r="A1601" s="5">
        <f>HYPERLINK("https://www.oit.va.gov/Services/TRM/ToolPage.aspx?tid=9465^","Redmine")</f>
      </c>
      <c r="B1601" s="4" t="s">
        <v>2217</v>
      </c>
      <c r="C1601" s="9" t="s">
        <v>6</v>
      </c>
      <c r="D1601" s="12" t="s">
        <v>2218</v>
      </c>
    </row>
    <row r="1602">
      <c r="A1602" s="5">
        <f>HYPERLINK("https://www.oit.va.gov/Services/TRM/ToolPage.aspx?tid=8632^","Remote Desktop Manager")</f>
      </c>
      <c r="B1602" s="4" t="s">
        <v>2219</v>
      </c>
      <c r="C1602" s="9" t="s">
        <v>6</v>
      </c>
      <c r="D1602" s="12" t="s">
        <v>2220</v>
      </c>
    </row>
    <row r="1603">
      <c r="A1603" s="5">
        <f>HYPERLINK("https://www.oit.va.gov/Services/TRM/ToolPage.aspx?tid=13470^","Responder 5000")</f>
      </c>
      <c r="B1603" s="4" t="s">
        <v>1435</v>
      </c>
      <c r="C1603" s="9" t="s">
        <v>6</v>
      </c>
      <c r="D1603" s="12" t="s">
        <v>2221</v>
      </c>
    </row>
    <row r="1604">
      <c r="A1604" s="5">
        <f>HYPERLINK("https://www.oit.va.gov/Services/TRM/ToolPage.aspx?tid=16628^","Rider")</f>
      </c>
      <c r="B1604" s="4" t="s">
        <v>671</v>
      </c>
      <c r="C1604" s="9" t="s">
        <v>6</v>
      </c>
      <c r="D1604" s="12" t="s">
        <v>631</v>
      </c>
    </row>
    <row r="1605">
      <c r="A1605" s="5">
        <f>HYPERLINK("https://www.oit.va.gov/Services/TRM/ToolPage.aspx?tid=8642^","Roter Interaction Analysis System (RIAS) Software")</f>
      </c>
      <c r="B1605" s="4" t="s">
        <v>1786</v>
      </c>
      <c r="C1605" s="9" t="s">
        <v>6</v>
      </c>
      <c r="D1605" s="12" t="s">
        <v>2222</v>
      </c>
    </row>
    <row r="1606">
      <c r="A1606" s="5">
        <f>HYPERLINK("https://www.oit.va.gov/Services/TRM/ToolPage.aspx?tid=6439^","RouteMatch Transportation Solution (TS)")</f>
      </c>
      <c r="B1606" s="4" t="s">
        <v>2223</v>
      </c>
      <c r="C1606" s="9" t="s">
        <v>6</v>
      </c>
      <c r="D1606" s="12" t="s">
        <v>2224</v>
      </c>
    </row>
    <row r="1607">
      <c r="A1607" s="5">
        <f>HYPERLINK("https://www.oit.va.gov/Services/TRM/ToolPage.aspx?tid=9323^","Rtools")</f>
      </c>
      <c r="B1607" s="4" t="s">
        <v>2225</v>
      </c>
      <c r="C1607" s="9" t="s">
        <v>6</v>
      </c>
      <c r="D1607" s="12" t="s">
        <v>2226</v>
      </c>
    </row>
    <row r="1608">
      <c r="A1608" s="5">
        <f>HYPERLINK("https://www.oit.va.gov/Services/TRM/ToolPage.aspx?tid=11205^","RZDCX Development Package")</f>
      </c>
      <c r="B1608" s="4" t="s">
        <v>2227</v>
      </c>
      <c r="C1608" s="9" t="s">
        <v>6</v>
      </c>
      <c r="D1608" s="12" t="s">
        <v>2228</v>
      </c>
    </row>
    <row r="1609">
      <c r="A1609" s="5">
        <f>HYPERLINK("https://www.oit.va.gov/Services/TRM/ToolPage.aspx?tid=9587^","Safe-Temp2")</f>
      </c>
      <c r="B1609" s="4" t="s">
        <v>2229</v>
      </c>
      <c r="C1609" s="9" t="s">
        <v>6</v>
      </c>
      <c r="D1609" s="12" t="s">
        <v>2230</v>
      </c>
    </row>
    <row r="1610">
      <c r="A1610" s="5">
        <f>HYPERLINK("https://www.oit.va.gov/Services/TRM/ToolPage.aspx?tid=7520^","SAS Visual Analytics")</f>
      </c>
      <c r="B1610" s="4" t="s">
        <v>183</v>
      </c>
      <c r="C1610" s="9" t="s">
        <v>6</v>
      </c>
      <c r="D1610" s="12" t="s">
        <v>2231</v>
      </c>
    </row>
    <row r="1611">
      <c r="A1611" s="5">
        <f>HYPERLINK("https://www.oit.va.gov/Services/TRM/ToolPage.aspx?tid=8030^","ScheduleAnywhere")</f>
      </c>
      <c r="B1611" s="4" t="s">
        <v>2232</v>
      </c>
      <c r="C1611" s="9" t="s">
        <v>6</v>
      </c>
      <c r="D1611" s="12" t="s">
        <v>2233</v>
      </c>
    </row>
    <row r="1612">
      <c r="A1612" s="5">
        <f>HYPERLINK("https://www.oit.va.gov/Services/TRM/ToolPage.aspx?tid=16430^","ScriptAbility Pharmacy Application")</f>
      </c>
      <c r="B1612" s="4" t="s">
        <v>2234</v>
      </c>
      <c r="C1612" s="9" t="s">
        <v>6</v>
      </c>
      <c r="D1612" s="12" t="s">
        <v>2235</v>
      </c>
    </row>
    <row r="1613">
      <c r="A1613" s="5">
        <f>HYPERLINK("https://www.oit.va.gov/Services/TRM/ToolPage.aspx?tid=10860^","Selenium-Standalone")</f>
      </c>
      <c r="B1613" s="4" t="s">
        <v>2236</v>
      </c>
      <c r="C1613" s="9" t="s">
        <v>6</v>
      </c>
      <c r="D1613" s="12" t="s">
        <v>2237</v>
      </c>
    </row>
    <row r="1614">
      <c r="A1614" s="5">
        <f>HYPERLINK("https://www.oit.va.gov/Services/TRM/ToolPage.aspx?tid=13452^","Send to Kindle")</f>
      </c>
      <c r="B1614" s="4" t="s">
        <v>2238</v>
      </c>
      <c r="C1614" s="9" t="s">
        <v>6</v>
      </c>
      <c r="D1614" s="12" t="s">
        <v>2239</v>
      </c>
    </row>
    <row r="1615">
      <c r="A1615" s="5">
        <f>HYPERLINK("https://www.oit.va.gov/Services/TRM/ToolPage.aspx?tid=14627^","Sentinel Visualizer")</f>
      </c>
      <c r="B1615" s="4" t="s">
        <v>1674</v>
      </c>
      <c r="C1615" s="9" t="s">
        <v>6</v>
      </c>
      <c r="D1615" s="12" t="s">
        <v>2240</v>
      </c>
    </row>
    <row r="1616">
      <c r="A1616" s="5">
        <f>HYPERLINK("https://www.oit.va.gov/Services/TRM/ToolPage.aspx?tid=10100^","Serengeti 3770 C LINK Client")</f>
      </c>
      <c r="B1616" s="4" t="s">
        <v>2241</v>
      </c>
      <c r="C1616" s="9" t="s">
        <v>6</v>
      </c>
      <c r="D1616" s="12" t="s">
        <v>2242</v>
      </c>
    </row>
    <row r="1617">
      <c r="A1617" s="5">
        <f>HYPERLINK("https://www.oit.va.gov/Services/TRM/ToolPage.aspx?tid=6620^","Shavlik")</f>
      </c>
      <c r="B1617" s="4" t="s">
        <v>2042</v>
      </c>
      <c r="C1617" s="9" t="s">
        <v>6</v>
      </c>
      <c r="D1617" s="12" t="s">
        <v>2243</v>
      </c>
    </row>
    <row r="1618">
      <c r="A1618" s="5">
        <f>HYPERLINK("https://www.oit.va.gov/Services/TRM/ToolPage.aspx?tid=11063^","Shouldly")</f>
      </c>
      <c r="B1618" s="4" t="s">
        <v>2244</v>
      </c>
      <c r="C1618" s="9" t="s">
        <v>6</v>
      </c>
      <c r="D1618" s="12" t="s">
        <v>2245</v>
      </c>
    </row>
    <row r="1619">
      <c r="A1619" s="5">
        <f>HYPERLINK("https://www.oit.va.gov/Services/TRM/ToolPage.aspx?tid=14474^","Siemens Teamplay")</f>
      </c>
      <c r="B1619" s="4" t="s">
        <v>1422</v>
      </c>
      <c r="C1619" s="9" t="s">
        <v>6</v>
      </c>
      <c r="D1619" s="12" t="s">
        <v>2246</v>
      </c>
    </row>
    <row r="1620">
      <c r="A1620" s="5">
        <f>HYPERLINK("https://www.oit.va.gov/Services/TRM/ToolPage.aspx?tid=7899^","Signage Manager")</f>
      </c>
      <c r="B1620" s="4" t="s">
        <v>2247</v>
      </c>
      <c r="C1620" s="9" t="s">
        <v>6</v>
      </c>
      <c r="D1620" s="12" t="s">
        <v>2248</v>
      </c>
    </row>
    <row r="1621">
      <c r="A1621" s="5">
        <f>HYPERLINK("https://www.oit.va.gov/Services/TRM/ToolPage.aspx?tid=13600^","Silk Test")</f>
      </c>
      <c r="B1621" s="4" t="s">
        <v>1314</v>
      </c>
      <c r="C1621" s="9" t="s">
        <v>6</v>
      </c>
      <c r="D1621" s="12" t="s">
        <v>292</v>
      </c>
    </row>
    <row r="1622">
      <c r="A1622" s="5">
        <f>HYPERLINK("https://www.oit.va.gov/Services/TRM/ToolPage.aspx?tid=9567^","Simple Network Management Protocol (SNMP) Master Agent")</f>
      </c>
      <c r="B1622" s="4" t="s">
        <v>2249</v>
      </c>
      <c r="C1622" s="9" t="s">
        <v>6</v>
      </c>
      <c r="D1622" s="12" t="s">
        <v>12</v>
      </c>
    </row>
    <row r="1623">
      <c r="A1623" s="5">
        <f>HYPERLINK("https://www.oit.va.gov/Services/TRM/ToolPage.aspx?tid=11503^","Sisense")</f>
      </c>
      <c r="B1623" s="4" t="s">
        <v>2250</v>
      </c>
      <c r="C1623" s="9" t="s">
        <v>6</v>
      </c>
      <c r="D1623" s="12" t="s">
        <v>2251</v>
      </c>
    </row>
    <row r="1624">
      <c r="A1624" s="5">
        <f>HYPERLINK("https://www.oit.va.gov/Services/TRM/ToolPage.aspx?tid=11533^","Situational Awareness for Everyone (SAFE) Operating Room (OR) Safety Alert Monitor")</f>
      </c>
      <c r="B1624" s="4" t="s">
        <v>758</v>
      </c>
      <c r="C1624" s="9" t="s">
        <v>6</v>
      </c>
      <c r="D1624" s="12" t="s">
        <v>2252</v>
      </c>
    </row>
    <row r="1625">
      <c r="A1625" s="5">
        <f>HYPERLINK("https://www.oit.va.gov/Services/TRM/ToolPage.aspx?tid=11183^","Skillpipe Reader")</f>
      </c>
      <c r="B1625" s="4" t="s">
        <v>2253</v>
      </c>
      <c r="C1625" s="9" t="s">
        <v>6</v>
      </c>
      <c r="D1625" s="12" t="s">
        <v>2254</v>
      </c>
    </row>
    <row r="1626">
      <c r="A1626" s="5">
        <f>HYPERLINK("https://www.oit.va.gov/Services/TRM/ToolPage.aspx?tid=6138^","SmartDraw")</f>
      </c>
      <c r="B1626" s="4" t="s">
        <v>2255</v>
      </c>
      <c r="C1626" s="9" t="s">
        <v>6</v>
      </c>
      <c r="D1626" s="12" t="s">
        <v>399</v>
      </c>
    </row>
    <row r="1627">
      <c r="A1627" s="5">
        <f>HYPERLINK("https://www.oit.va.gov/Services/TRM/ToolPage.aspx?tid=7006^","SourceGear Vault")</f>
      </c>
      <c r="B1627" s="4" t="s">
        <v>2256</v>
      </c>
      <c r="C1627" s="9" t="s">
        <v>6</v>
      </c>
      <c r="D1627" s="12" t="s">
        <v>2257</v>
      </c>
    </row>
    <row r="1628">
      <c r="A1628" s="5">
        <f>HYPERLINK("https://www.oit.va.gov/Services/TRM/ToolPage.aspx?tid=8507^","Spirometry 360 Feedback Agent")</f>
      </c>
      <c r="B1628" s="4" t="s">
        <v>2258</v>
      </c>
      <c r="C1628" s="9" t="s">
        <v>6</v>
      </c>
      <c r="D1628" s="12" t="s">
        <v>1885</v>
      </c>
    </row>
    <row r="1629">
      <c r="A1629" s="5">
        <f>HYPERLINK("https://www.oit.va.gov/Services/TRM/ToolPage.aspx?tid=13416^","Spreadsheet Assistant")</f>
      </c>
      <c r="B1629" s="4" t="s">
        <v>2259</v>
      </c>
      <c r="C1629" s="9" t="s">
        <v>6</v>
      </c>
      <c r="D1629" s="12" t="s">
        <v>2260</v>
      </c>
    </row>
    <row r="1630">
      <c r="A1630" s="5">
        <f>HYPERLINK("https://www.oit.va.gov/Services/TRM/ToolPage.aspx?tid=6470^","SQL Compliance Manager")</f>
      </c>
      <c r="B1630" s="4" t="s">
        <v>1034</v>
      </c>
      <c r="C1630" s="9" t="s">
        <v>6</v>
      </c>
      <c r="D1630" s="12" t="s">
        <v>2261</v>
      </c>
    </row>
    <row r="1631">
      <c r="A1631" s="5">
        <f>HYPERLINK("https://www.oit.va.gov/Services/TRM/ToolPage.aspx?tid=9514^","Statistical Package for the Social Sciences (SPSS) Text Analytics for Surveys")</f>
      </c>
      <c r="B1631" s="4" t="s">
        <v>233</v>
      </c>
      <c r="C1631" s="9" t="s">
        <v>6</v>
      </c>
      <c r="D1631" s="12" t="s">
        <v>2262</v>
      </c>
    </row>
    <row r="1632">
      <c r="A1632" s="5">
        <f>HYPERLINK("https://www.oit.va.gov/Services/TRM/ToolPage.aspx?tid=5729^","Statistical Product and Service Solutions (SPSS) Analysis of Moment Structures (AMOS)")</f>
      </c>
      <c r="B1632" s="4" t="s">
        <v>233</v>
      </c>
      <c r="C1632" s="9" t="s">
        <v>6</v>
      </c>
      <c r="D1632" s="12" t="s">
        <v>2263</v>
      </c>
    </row>
    <row r="1633">
      <c r="A1633" s="5">
        <f>HYPERLINK("https://www.oit.va.gov/Services/TRM/ToolPage.aspx?tid=8206^","StatTools")</f>
      </c>
      <c r="B1633" s="4" t="s">
        <v>1750</v>
      </c>
      <c r="C1633" s="9" t="s">
        <v>6</v>
      </c>
      <c r="D1633" s="12" t="s">
        <v>2264</v>
      </c>
    </row>
    <row r="1634">
      <c r="A1634" s="5">
        <f>HYPERLINK("https://www.oit.va.gov/Services/TRM/ToolPage.aspx?tid=11738^","SteelCentral Unified Communications Expert (UCExpert)")</f>
      </c>
      <c r="B1634" s="4" t="s">
        <v>2265</v>
      </c>
      <c r="C1634" s="9" t="s">
        <v>6</v>
      </c>
      <c r="D1634" s="12" t="s">
        <v>2266</v>
      </c>
    </row>
    <row r="1635">
      <c r="A1635" s="5">
        <f>HYPERLINK("https://www.oit.va.gov/Services/TRM/ToolPage.aspx?tid=7008^","Structured Query Language (SQL) Backup Pro")</f>
      </c>
      <c r="B1635" s="4" t="s">
        <v>439</v>
      </c>
      <c r="C1635" s="9" t="s">
        <v>6</v>
      </c>
      <c r="D1635" s="12" t="s">
        <v>2267</v>
      </c>
    </row>
    <row r="1636">
      <c r="A1636" s="5">
        <f>HYPERLINK("https://www.oit.va.gov/Services/TRM/ToolPage.aspx?tid=16396^","Structured Query Language (SQL) Server Integration Services (SSIS) Integration Toolkit for Salesforce")</f>
      </c>
      <c r="B1636" s="4" t="s">
        <v>14</v>
      </c>
      <c r="C1636" s="9" t="s">
        <v>6</v>
      </c>
      <c r="D1636" s="12" t="s">
        <v>2268</v>
      </c>
    </row>
    <row r="1637">
      <c r="A1637" s="5">
        <f>HYPERLINK("https://www.oit.va.gov/Services/TRM/ToolPage.aspx?tid=16654^","Structured Solutions Inc (SSI) Tools Presentation Professional")</f>
      </c>
      <c r="B1637" s="4" t="s">
        <v>2269</v>
      </c>
      <c r="C1637" s="9" t="s">
        <v>6</v>
      </c>
      <c r="D1637" s="12" t="s">
        <v>2270</v>
      </c>
    </row>
    <row r="1638">
      <c r="A1638" s="5">
        <f>HYPERLINK("https://www.oit.va.gov/Services/TRM/ToolPage.aspx?tid=6778^","StructureMap")</f>
      </c>
      <c r="B1638" s="4" t="s">
        <v>2271</v>
      </c>
      <c r="C1638" s="9" t="s">
        <v>6</v>
      </c>
      <c r="D1638" s="12" t="s">
        <v>2272</v>
      </c>
    </row>
    <row r="1639">
      <c r="A1639" s="5">
        <f>HYPERLINK("https://www.oit.va.gov/Services/TRM/ToolPage.aspx?tid=9331^","StudyTRAX")</f>
      </c>
      <c r="B1639" s="4" t="s">
        <v>2273</v>
      </c>
      <c r="C1639" s="9" t="s">
        <v>6</v>
      </c>
      <c r="D1639" s="12" t="s">
        <v>2274</v>
      </c>
    </row>
    <row r="1640">
      <c r="A1640" s="5">
        <f>HYPERLINK("https://www.oit.va.gov/Services/TRM/ToolPage.aspx?tid=12823^","Sumatra PDF")</f>
      </c>
      <c r="B1640" s="4" t="s">
        <v>2275</v>
      </c>
      <c r="C1640" s="9" t="s">
        <v>6</v>
      </c>
      <c r="D1640" s="12" t="s">
        <v>2276</v>
      </c>
    </row>
    <row r="1641">
      <c r="A1641" s="5">
        <f>HYPERLINK("https://www.oit.va.gov/Services/TRM/ToolPage.aspx?tid=7784^","SuperOrca")</f>
      </c>
      <c r="B1641" s="4" t="s">
        <v>2277</v>
      </c>
      <c r="C1641" s="9" t="s">
        <v>6</v>
      </c>
      <c r="D1641" s="12" t="s">
        <v>2278</v>
      </c>
    </row>
    <row r="1642">
      <c r="A1642" s="5">
        <f>HYPERLINK("https://www.oit.va.gov/Services/TRM/ToolPage.aspx?tid=7690^","Symphony Integrated Library System (ILS)")</f>
      </c>
      <c r="B1642" s="4" t="s">
        <v>2279</v>
      </c>
      <c r="C1642" s="9" t="s">
        <v>6</v>
      </c>
      <c r="D1642" s="12" t="s">
        <v>2280</v>
      </c>
    </row>
    <row r="1643">
      <c r="A1643" s="5">
        <f>HYPERLINK("https://www.oit.va.gov/Services/TRM/ToolPage.aspx?tid=10665^","Synapse Link")</f>
      </c>
      <c r="B1643" s="4" t="s">
        <v>1221</v>
      </c>
      <c r="C1643" s="9" t="s">
        <v>6</v>
      </c>
      <c r="D1643" s="12" t="s">
        <v>1583</v>
      </c>
    </row>
    <row r="1644">
      <c r="A1644" s="5">
        <f>HYPERLINK("https://www.oit.va.gov/Services/TRM/ToolPage.aspx?tid=6553^","Synergy Document Management")</f>
      </c>
      <c r="B1644" s="4" t="s">
        <v>2281</v>
      </c>
      <c r="C1644" s="9" t="s">
        <v>6</v>
      </c>
      <c r="D1644" s="12" t="s">
        <v>2282</v>
      </c>
    </row>
    <row r="1645">
      <c r="A1645" s="5">
        <f>HYPERLINK("https://www.oit.va.gov/Services/TRM/ToolPage.aspx?tid=9052^","Synergy Ophthalmic Data Management (ODM) System")</f>
      </c>
      <c r="B1645" s="4" t="s">
        <v>1107</v>
      </c>
      <c r="C1645" s="9" t="s">
        <v>6</v>
      </c>
      <c r="D1645" s="12" t="s">
        <v>2283</v>
      </c>
    </row>
    <row r="1646">
      <c r="A1646" s="5">
        <f>HYPERLINK("https://www.oit.va.gov/Services/TRM/ToolPage.aspx?tid=7398^","TeamCity")</f>
      </c>
      <c r="B1646" s="4" t="s">
        <v>671</v>
      </c>
      <c r="C1646" s="9" t="s">
        <v>6</v>
      </c>
      <c r="D1646" s="12" t="s">
        <v>2284</v>
      </c>
    </row>
    <row r="1647">
      <c r="A1647" s="5">
        <f>HYPERLINK("https://www.oit.va.gov/Services/TRM/ToolPage.aspx?tid=14007^","TempTrend")</f>
      </c>
      <c r="B1647" s="4" t="s">
        <v>2285</v>
      </c>
      <c r="C1647" s="9" t="s">
        <v>6</v>
      </c>
      <c r="D1647" s="12" t="s">
        <v>2286</v>
      </c>
    </row>
    <row r="1648">
      <c r="A1648" s="5">
        <f>HYPERLINK("https://www.oit.va.gov/Services/TRM/ToolPage.aspx?tid=6296^","TermWorks")</f>
      </c>
      <c r="B1648" s="4" t="s">
        <v>1911</v>
      </c>
      <c r="C1648" s="9" t="s">
        <v>6</v>
      </c>
      <c r="D1648" s="12" t="s">
        <v>2257</v>
      </c>
    </row>
    <row r="1649">
      <c r="A1649" s="5">
        <f>HYPERLINK("https://www.oit.va.gov/Services/TRM/ToolPage.aspx?tid=9603^","Thrive Electronic Health Record (EHR)")</f>
      </c>
      <c r="B1649" s="4" t="s">
        <v>2287</v>
      </c>
      <c r="C1649" s="9" t="s">
        <v>6</v>
      </c>
      <c r="D1649" s="12" t="s">
        <v>2288</v>
      </c>
    </row>
    <row r="1650">
      <c r="A1650" s="5">
        <f>HYPERLINK("https://www.oit.va.gov/Services/TRM/ToolPage.aspx?tid=13333^","ThumbsPlus")</f>
      </c>
      <c r="B1650" s="4" t="s">
        <v>2289</v>
      </c>
      <c r="C1650" s="9" t="s">
        <v>6</v>
      </c>
      <c r="D1650" s="12" t="s">
        <v>2290</v>
      </c>
    </row>
    <row r="1651">
      <c r="A1651" s="5">
        <f>HYPERLINK("https://www.oit.va.gov/Services/TRM/ToolPage.aspx?tid=14477^","Titan Suite")</f>
      </c>
      <c r="B1651" s="4" t="s">
        <v>760</v>
      </c>
      <c r="C1651" s="9" t="s">
        <v>6</v>
      </c>
      <c r="D1651" s="12" t="s">
        <v>2291</v>
      </c>
    </row>
    <row r="1652">
      <c r="A1652" s="5">
        <f>HYPERLINK("https://www.oit.va.gov/Services/TRM/ToolPage.aspx?tid=7276^","TITUS Message Classification for Outlook")</f>
      </c>
      <c r="B1652" s="4" t="s">
        <v>2292</v>
      </c>
      <c r="C1652" s="9" t="s">
        <v>6</v>
      </c>
      <c r="D1652" s="12" t="s">
        <v>2293</v>
      </c>
    </row>
    <row r="1653">
      <c r="A1653" s="5">
        <f>HYPERLINK("https://www.oit.va.gov/Services/TRM/ToolPage.aspx?tid=13992^","Topcon Harmony")</f>
      </c>
      <c r="B1653" s="4" t="s">
        <v>1107</v>
      </c>
      <c r="C1653" s="9" t="s">
        <v>6</v>
      </c>
      <c r="D1653" s="12" t="s">
        <v>2294</v>
      </c>
    </row>
    <row r="1654">
      <c r="A1654" s="5">
        <f>HYPERLINK("https://www.oit.va.gov/Services/TRM/ToolPage.aspx?tid=6678^","Tortoise Subversion (SVN)")</f>
      </c>
      <c r="B1654" s="4" t="s">
        <v>2295</v>
      </c>
      <c r="C1654" s="9" t="s">
        <v>6</v>
      </c>
      <c r="D1654" s="12" t="s">
        <v>2296</v>
      </c>
    </row>
    <row r="1655">
      <c r="A1655" s="5">
        <f>HYPERLINK("https://www.oit.va.gov/Services/TRM/ToolPage.aspx?tid=14315^","Total Access Detective")</f>
      </c>
      <c r="B1655" s="4" t="s">
        <v>1674</v>
      </c>
      <c r="C1655" s="9" t="s">
        <v>6</v>
      </c>
      <c r="D1655" s="12" t="s">
        <v>2297</v>
      </c>
    </row>
    <row r="1656">
      <c r="A1656" s="5">
        <f>HYPERLINK("https://www.oit.va.gov/Services/TRM/ToolPage.aspx?tid=14465^","Total Access Statistics")</f>
      </c>
      <c r="B1656" s="4" t="s">
        <v>1674</v>
      </c>
      <c r="C1656" s="9" t="s">
        <v>6</v>
      </c>
      <c r="D1656" s="12" t="s">
        <v>358</v>
      </c>
    </row>
    <row r="1657">
      <c r="A1657" s="5">
        <f>HYPERLINK("https://www.oit.va.gov/Services/TRM/ToolPage.aspx?tid=7558^","Tracker")</f>
      </c>
      <c r="B1657" s="4" t="s">
        <v>2298</v>
      </c>
      <c r="C1657" s="9" t="s">
        <v>6</v>
      </c>
      <c r="D1657" s="12" t="s">
        <v>2299</v>
      </c>
    </row>
    <row r="1658">
      <c r="A1658" s="5">
        <f>HYPERLINK("https://www.oit.va.gov/Services/TRM/ToolPage.aspx?tid=9501^","Travis Continuous Integration (CI) Enterprise")</f>
      </c>
      <c r="B1658" s="4" t="s">
        <v>2300</v>
      </c>
      <c r="C1658" s="9" t="s">
        <v>6</v>
      </c>
      <c r="D1658" s="12" t="s">
        <v>1392</v>
      </c>
    </row>
    <row r="1659">
      <c r="A1659" s="5">
        <f>HYPERLINK("https://www.oit.va.gov/Services/TRM/ToolPage.aspx?tid=15631^","Trellix Endpoint Detection and Response (EDR)")</f>
      </c>
      <c r="B1659" s="4" t="s">
        <v>954</v>
      </c>
      <c r="C1659" s="9" t="s">
        <v>6</v>
      </c>
      <c r="D1659" s="12" t="s">
        <v>2301</v>
      </c>
    </row>
    <row r="1660">
      <c r="A1660" s="5">
        <f>HYPERLINK("https://www.oit.va.gov/Services/TRM/ToolPage.aspx?tid=15552^","Trellix File and Removable Media Protection (FRP)")</f>
      </c>
      <c r="B1660" s="4" t="s">
        <v>954</v>
      </c>
      <c r="C1660" s="9" t="s">
        <v>6</v>
      </c>
      <c r="D1660" s="12" t="s">
        <v>2302</v>
      </c>
    </row>
    <row r="1661">
      <c r="A1661" s="5">
        <f>HYPERLINK("https://www.oit.va.gov/Services/TRM/ToolPage.aspx?tid=12864^","TriNetX Live")</f>
      </c>
      <c r="B1661" s="4" t="s">
        <v>2303</v>
      </c>
      <c r="C1661" s="9" t="s">
        <v>6</v>
      </c>
      <c r="D1661" s="12" t="s">
        <v>2304</v>
      </c>
    </row>
    <row r="1662">
      <c r="A1662" s="5">
        <f>HYPERLINK("https://www.oit.va.gov/Services/TRM/ToolPage.aspx?tid=7400^","TSI Quest Detection Management Software (DMS)")</f>
      </c>
      <c r="B1662" s="4" t="s">
        <v>1047</v>
      </c>
      <c r="C1662" s="9" t="s">
        <v>6</v>
      </c>
      <c r="D1662" s="12" t="s">
        <v>1526</v>
      </c>
    </row>
    <row r="1663">
      <c r="A1663" s="5">
        <f>HYPERLINK("https://www.oit.va.gov/Services/TRM/ToolPage.aspx?tid=10064^","Turbo Client")</f>
      </c>
      <c r="B1663" s="4" t="s">
        <v>2305</v>
      </c>
      <c r="C1663" s="9" t="s">
        <v>6</v>
      </c>
      <c r="D1663" s="12" t="s">
        <v>2306</v>
      </c>
    </row>
    <row r="1664">
      <c r="A1664" s="5">
        <f>HYPERLINK("https://www.oit.va.gov/Services/TRM/ToolPage.aspx?tid=7950^","TurboServer")</f>
      </c>
      <c r="B1664" s="4" t="s">
        <v>2305</v>
      </c>
      <c r="C1664" s="9" t="s">
        <v>6</v>
      </c>
      <c r="D1664" s="12" t="s">
        <v>2307</v>
      </c>
    </row>
    <row r="1665">
      <c r="A1665" s="5">
        <f>HYPERLINK("https://www.oit.va.gov/Services/TRM/ToolPage.aspx?tid=9701^","TWin Polysomnography (PSG)")</f>
      </c>
      <c r="B1665" s="4" t="s">
        <v>495</v>
      </c>
      <c r="C1665" s="9" t="s">
        <v>6</v>
      </c>
      <c r="D1665" s="12" t="s">
        <v>2308</v>
      </c>
    </row>
    <row r="1666">
      <c r="A1666" s="5">
        <f>HYPERLINK("https://www.oit.va.gov/Services/TRM/ToolPage.aspx?tid=15507^","uBlock Origin Browser Extension")</f>
      </c>
      <c r="B1666" s="4" t="s">
        <v>2309</v>
      </c>
      <c r="C1666" s="9" t="s">
        <v>6</v>
      </c>
      <c r="D1666" s="12" t="s">
        <v>2310</v>
      </c>
    </row>
    <row r="1667">
      <c r="A1667" s="5">
        <f>HYPERLINK("https://www.oit.va.gov/Services/TRM/ToolPage.aspx?tid=12827^","Unicom Intelligence Data Entry")</f>
      </c>
      <c r="B1667" s="4" t="s">
        <v>714</v>
      </c>
      <c r="C1667" s="9" t="s">
        <v>6</v>
      </c>
      <c r="D1667" s="12" t="s">
        <v>2311</v>
      </c>
    </row>
    <row r="1668">
      <c r="A1668" s="5">
        <f>HYPERLINK("https://www.oit.va.gov/Services/TRM/ToolPage.aspx?tid=12824^","Unicom Intelligence Professional")</f>
      </c>
      <c r="B1668" s="4" t="s">
        <v>714</v>
      </c>
      <c r="C1668" s="9" t="s">
        <v>6</v>
      </c>
      <c r="D1668" s="12" t="s">
        <v>2312</v>
      </c>
    </row>
    <row r="1669">
      <c r="A1669" s="5">
        <f>HYPERLINK("https://www.oit.va.gov/Services/TRM/ToolPage.aspx?tid=13843^","Unify, OpenScape Desktop Client")</f>
      </c>
      <c r="B1669" s="4" t="s">
        <v>2313</v>
      </c>
      <c r="C1669" s="9" t="s">
        <v>6</v>
      </c>
      <c r="D1669" s="12" t="s">
        <v>2314</v>
      </c>
    </row>
    <row r="1670">
      <c r="A1670" s="5">
        <f>HYPERLINK("https://www.oit.va.gov/Services/TRM/ToolPage.aspx?tid=8457^","Unitrends Enterprise Backup (UEB)")</f>
      </c>
      <c r="B1670" s="4" t="s">
        <v>2315</v>
      </c>
      <c r="C1670" s="9" t="s">
        <v>6</v>
      </c>
      <c r="D1670" s="12" t="s">
        <v>2316</v>
      </c>
    </row>
    <row r="1671">
      <c r="A1671" s="5">
        <f>HYPERLINK("https://www.oit.va.gov/Services/TRM/ToolPage.aspx?tid=7967^","UnityConnect")</f>
      </c>
      <c r="B1671" s="4" t="s">
        <v>827</v>
      </c>
      <c r="C1671" s="9" t="s">
        <v>6</v>
      </c>
      <c r="D1671" s="12" t="s">
        <v>1733</v>
      </c>
    </row>
    <row r="1672">
      <c r="A1672" s="5">
        <f>HYPERLINK("https://www.oit.va.gov/Services/TRM/ToolPage.aspx?tid=14065^","Univago HE")</f>
      </c>
      <c r="B1672" s="4" t="s">
        <v>2317</v>
      </c>
      <c r="C1672" s="9" t="s">
        <v>6</v>
      </c>
      <c r="D1672" s="12" t="s">
        <v>1007</v>
      </c>
    </row>
    <row r="1673">
      <c r="A1673" s="5">
        <f>HYPERLINK("https://www.oit.va.gov/Services/TRM/ToolPage.aspx?tid=10031^","UVProbe")</f>
      </c>
      <c r="B1673" s="4" t="s">
        <v>2318</v>
      </c>
      <c r="C1673" s="9" t="s">
        <v>6</v>
      </c>
      <c r="D1673" s="12" t="s">
        <v>1570</v>
      </c>
    </row>
    <row r="1674">
      <c r="A1674" s="5">
        <f>HYPERLINK("https://www.oit.va.gov/Services/TRM/ToolPage.aspx?tid=13029^","V2 Vantage Pro")</f>
      </c>
      <c r="B1674" s="4" t="s">
        <v>2319</v>
      </c>
      <c r="C1674" s="9" t="s">
        <v>6</v>
      </c>
      <c r="D1674" s="12" t="s">
        <v>2320</v>
      </c>
    </row>
    <row r="1675">
      <c r="A1675" s="5">
        <f>HYPERLINK("https://www.oit.va.gov/Services/TRM/ToolPage.aspx?tid=9054^","VANTAGE Workflow Solution")</f>
      </c>
      <c r="B1675" s="4" t="s">
        <v>2321</v>
      </c>
      <c r="C1675" s="9" t="s">
        <v>6</v>
      </c>
      <c r="D1675" s="12" t="s">
        <v>2322</v>
      </c>
    </row>
    <row r="1676">
      <c r="A1676" s="5">
        <f>HYPERLINK("https://www.oit.va.gov/Services/TRM/ToolPage.aspx?tid=8124^","Varnish Cache")</f>
      </c>
      <c r="B1676" s="4" t="s">
        <v>2323</v>
      </c>
      <c r="C1676" s="9" t="s">
        <v>6</v>
      </c>
      <c r="D1676" s="12" t="s">
        <v>2324</v>
      </c>
    </row>
    <row r="1677">
      <c r="A1677" s="5">
        <f>HYPERLINK("https://www.oit.va.gov/Services/TRM/ToolPage.aspx?tid=9338^","V-Direct")</f>
      </c>
      <c r="B1677" s="4" t="s">
        <v>2325</v>
      </c>
      <c r="C1677" s="9" t="s">
        <v>6</v>
      </c>
      <c r="D1677" s="12" t="s">
        <v>2326</v>
      </c>
    </row>
    <row r="1678">
      <c r="A1678" s="5">
        <f>HYPERLINK("https://www.oit.va.gov/Services/TRM/ToolPage.aspx?tid=12939^","VENUS")</f>
      </c>
      <c r="B1678" s="4" t="s">
        <v>2327</v>
      </c>
      <c r="C1678" s="9" t="s">
        <v>6</v>
      </c>
      <c r="D1678" s="12" t="s">
        <v>2328</v>
      </c>
    </row>
    <row r="1679">
      <c r="A1679" s="5">
        <f>HYPERLINK("https://www.oit.va.gov/Services/TRM/ToolPage.aspx?tid=6847^","VersionOne LifeCycle")</f>
      </c>
      <c r="B1679" s="4" t="s">
        <v>2329</v>
      </c>
      <c r="C1679" s="9" t="s">
        <v>6</v>
      </c>
      <c r="D1679" s="12" t="s">
        <v>2330</v>
      </c>
    </row>
    <row r="1680">
      <c r="A1680" s="5">
        <f>HYPERLINK("https://www.oit.va.gov/Services/TRM/ToolPage.aspx?tid=8468^","Veterans Health Gateway (VHG)")</f>
      </c>
      <c r="B1680" s="4" t="s">
        <v>2331</v>
      </c>
      <c r="C1680" s="9" t="s">
        <v>6</v>
      </c>
      <c r="D1680" s="12" t="s">
        <v>2332</v>
      </c>
    </row>
    <row r="1681">
      <c r="A1681" s="5">
        <f>HYPERLINK("https://www.oit.va.gov/Services/TRM/ToolPage.aspx?tid=10335^","Virtual Infrastructure Extension (VIX) Application Programming Interface (API)")</f>
      </c>
      <c r="B1681" s="4" t="s">
        <v>719</v>
      </c>
      <c r="C1681" s="9" t="s">
        <v>6</v>
      </c>
      <c r="D1681" s="12" t="s">
        <v>2333</v>
      </c>
    </row>
    <row r="1682">
      <c r="A1682" s="5">
        <f>HYPERLINK("https://www.oit.va.gov/Services/TRM/ToolPage.aspx?tid=10637^","VirtuaWin")</f>
      </c>
      <c r="B1682" s="4" t="s">
        <v>2334</v>
      </c>
      <c r="C1682" s="9" t="s">
        <v>6</v>
      </c>
      <c r="D1682" s="12" t="s">
        <v>898</v>
      </c>
    </row>
    <row r="1683">
      <c r="A1683" s="5">
        <f>HYPERLINK("https://www.oit.va.gov/Services/TRM/ToolPage.aspx?tid=6744^","Visual Health Information (VHI) Personal Computer (PC)-Kits")</f>
      </c>
      <c r="B1683" s="4" t="s">
        <v>2335</v>
      </c>
      <c r="C1683" s="9" t="s">
        <v>6</v>
      </c>
      <c r="D1683" s="12" t="s">
        <v>2336</v>
      </c>
    </row>
    <row r="1684">
      <c r="A1684" s="5">
        <f>HYPERLINK("https://www.oit.va.gov/Services/TRM/ToolPage.aspx?tid=7413^","Visustin")</f>
      </c>
      <c r="B1684" s="4" t="s">
        <v>2337</v>
      </c>
      <c r="C1684" s="9" t="s">
        <v>6</v>
      </c>
      <c r="D1684" s="12" t="s">
        <v>2338</v>
      </c>
    </row>
    <row r="1685">
      <c r="A1685" s="5">
        <f>HYPERLINK("https://www.oit.va.gov/Services/TRM/ToolPage.aspx?tid=10131^","Voiceye Maker for MS-Word")</f>
      </c>
      <c r="B1685" s="4" t="s">
        <v>2339</v>
      </c>
      <c r="C1685" s="9" t="s">
        <v>6</v>
      </c>
      <c r="D1685" s="12" t="s">
        <v>2340</v>
      </c>
    </row>
    <row r="1686">
      <c r="A1686" s="5">
        <f>HYPERLINK("https://www.oit.va.gov/Services/TRM/ToolPage.aspx?tid=13180^","VSee Messenger")</f>
      </c>
      <c r="B1686" s="4" t="s">
        <v>2341</v>
      </c>
      <c r="C1686" s="9" t="s">
        <v>6</v>
      </c>
      <c r="D1686" s="12" t="s">
        <v>2342</v>
      </c>
    </row>
    <row r="1687">
      <c r="A1687" s="5">
        <f>HYPERLINK("https://www.oit.va.gov/Services/TRM/ToolPage.aspx?tid=9171^","Vulnerable Veteran – Innovative PACT (VIP)")</f>
      </c>
      <c r="B1687" s="4" t="s">
        <v>2343</v>
      </c>
      <c r="C1687" s="9" t="s">
        <v>6</v>
      </c>
      <c r="D1687" s="12" t="s">
        <v>2344</v>
      </c>
    </row>
    <row r="1688">
      <c r="A1688" s="5">
        <f>HYPERLINK("https://www.oit.va.gov/Services/TRM/ToolPage.aspx?tid=7922^","WaspLabeler +2D")</f>
      </c>
      <c r="B1688" s="4" t="s">
        <v>1157</v>
      </c>
      <c r="C1688" s="9" t="s">
        <v>6</v>
      </c>
      <c r="D1688" s="12" t="s">
        <v>2345</v>
      </c>
    </row>
    <row r="1689">
      <c r="A1689" s="5">
        <f>HYPERLINK("https://www.oit.va.gov/Services/TRM/ToolPage.aspx?tid=14708^","WebClientPrint Processor (WCPP)")</f>
      </c>
      <c r="B1689" s="4" t="s">
        <v>2346</v>
      </c>
      <c r="C1689" s="9" t="s">
        <v>6</v>
      </c>
      <c r="D1689" s="12" t="s">
        <v>2347</v>
      </c>
    </row>
    <row r="1690">
      <c r="A1690" s="5">
        <f>HYPERLINK("https://www.oit.va.gov/Services/TRM/ToolPage.aspx?tid=12981^","WebIssues")</f>
      </c>
      <c r="B1690" s="4" t="s">
        <v>2348</v>
      </c>
      <c r="C1690" s="9" t="s">
        <v>6</v>
      </c>
      <c r="D1690" s="12" t="s">
        <v>2349</v>
      </c>
    </row>
    <row r="1691">
      <c r="A1691" s="5">
        <f>HYPERLINK("https://www.oit.va.gov/Services/TRM/ToolPage.aspx?tid=163^","WebLogic Portal")</f>
      </c>
      <c r="B1691" s="4" t="s">
        <v>136</v>
      </c>
      <c r="C1691" s="9" t="s">
        <v>6</v>
      </c>
      <c r="D1691" s="12" t="s">
        <v>2350</v>
      </c>
    </row>
    <row r="1692">
      <c r="A1692" s="5">
        <f>HYPERLINK("https://www.oit.va.gov/Services/TRM/ToolPage.aspx?tid=8139^","WebRTC Plugins")</f>
      </c>
      <c r="B1692" s="4" t="s">
        <v>2351</v>
      </c>
      <c r="C1692" s="9" t="s">
        <v>6</v>
      </c>
      <c r="D1692" s="12" t="s">
        <v>2352</v>
      </c>
    </row>
    <row r="1693">
      <c r="A1693" s="5">
        <f>HYPERLINK("https://www.oit.va.gov/Services/TRM/ToolPage.aspx?tid=7280^","WebWatchBot")</f>
      </c>
      <c r="B1693" s="4" t="s">
        <v>2353</v>
      </c>
      <c r="C1693" s="9" t="s">
        <v>6</v>
      </c>
      <c r="D1693" s="12" t="s">
        <v>1919</v>
      </c>
    </row>
    <row r="1694">
      <c r="A1694" s="5">
        <f>HYPERLINK("https://www.oit.va.gov/Services/TRM/ToolPage.aspx?tid=6781^","Wechsler Adult Intelligence Scale, Fourth Edition (WAIS-IV)")</f>
      </c>
      <c r="B1694" s="4" t="s">
        <v>666</v>
      </c>
      <c r="C1694" s="9" t="s">
        <v>6</v>
      </c>
      <c r="D1694" s="12" t="s">
        <v>2354</v>
      </c>
    </row>
    <row r="1695">
      <c r="A1695" s="5">
        <f>HYPERLINK("https://www.oit.va.gov/Services/TRM/ToolPage.aspx?tid=6784^","Wechsler Memory Scale, Fourth Edition (WMS-IV)")</f>
      </c>
      <c r="B1695" s="4" t="s">
        <v>666</v>
      </c>
      <c r="C1695" s="9" t="s">
        <v>6</v>
      </c>
      <c r="D1695" s="12" t="s">
        <v>2355</v>
      </c>
    </row>
    <row r="1696">
      <c r="A1696" s="5">
        <f>HYPERLINK("https://www.oit.va.gov/Services/TRM/ToolPage.aspx?tid=13744^","Weka")</f>
      </c>
      <c r="B1696" s="4" t="s">
        <v>2356</v>
      </c>
      <c r="C1696" s="9" t="s">
        <v>6</v>
      </c>
      <c r="D1696" s="12" t="s">
        <v>2357</v>
      </c>
    </row>
    <row r="1697">
      <c r="A1697" s="5">
        <f>HYPERLINK("https://www.oit.va.gov/Services/TRM/ToolPage.aspx?tid=6303^","Window-Eyes")</f>
      </c>
      <c r="B1697" s="4" t="s">
        <v>2358</v>
      </c>
      <c r="C1697" s="9" t="s">
        <v>6</v>
      </c>
      <c r="D1697" s="12" t="s">
        <v>2359</v>
      </c>
    </row>
    <row r="1698">
      <c r="A1698" s="5">
        <f>HYPERLINK("https://www.oit.va.gov/Services/TRM/ToolPage.aspx?tid=5778^","WinDVD")</f>
      </c>
      <c r="B1698" s="4" t="s">
        <v>2360</v>
      </c>
      <c r="C1698" s="9" t="s">
        <v>6</v>
      </c>
      <c r="D1698" s="12" t="s">
        <v>2361</v>
      </c>
    </row>
    <row r="1699">
      <c r="A1699" s="5">
        <f>HYPERLINK("https://www.oit.va.gov/Services/TRM/ToolPage.aspx?tid=9473^","WinEdt")</f>
      </c>
      <c r="B1699" s="4" t="s">
        <v>2362</v>
      </c>
      <c r="C1699" s="9" t="s">
        <v>6</v>
      </c>
      <c r="D1699" s="12" t="s">
        <v>406</v>
      </c>
    </row>
    <row r="1700">
      <c r="A1700" s="5">
        <f>HYPERLINK("https://www.oit.va.gov/Services/TRM/ToolPage.aspx?tid=13516^","WinZip Courier")</f>
      </c>
      <c r="B1700" s="4" t="s">
        <v>2360</v>
      </c>
      <c r="C1700" s="9" t="s">
        <v>6</v>
      </c>
      <c r="D1700" s="12" t="s">
        <v>2363</v>
      </c>
    </row>
    <row r="1701">
      <c r="A1701" s="5">
        <f>HYPERLINK("https://www.oit.va.gov/Services/TRM/ToolPage.aspx?tid=8140^","Word 2007/2010 Redaction Tool")</f>
      </c>
      <c r="B1701" s="4" t="s">
        <v>683</v>
      </c>
      <c r="C1701" s="9" t="s">
        <v>6</v>
      </c>
      <c r="D1701" s="12" t="s">
        <v>2364</v>
      </c>
    </row>
    <row r="1702">
      <c r="A1702" s="5">
        <f>HYPERLINK("https://www.oit.va.gov/Services/TRM/ToolPage.aspx?tid=7384^","Word Barcode Add-In")</f>
      </c>
      <c r="B1702" s="4" t="s">
        <v>2365</v>
      </c>
      <c r="C1702" s="9" t="s">
        <v>6</v>
      </c>
      <c r="D1702" s="12" t="s">
        <v>2366</v>
      </c>
    </row>
    <row r="1703">
      <c r="A1703" s="5">
        <f>HYPERLINK("https://www.oit.va.gov/Services/TRM/ToolPage.aspx?tid=13434^","Word Reader")</f>
      </c>
      <c r="B1703" s="4" t="s">
        <v>2367</v>
      </c>
      <c r="C1703" s="9" t="s">
        <v>6</v>
      </c>
      <c r="D1703" s="12" t="s">
        <v>2368</v>
      </c>
    </row>
    <row r="1704">
      <c r="A1704" s="5">
        <f>HYPERLINK("https://www.oit.va.gov/Services/TRM/ToolPage.aspx?tid=11201^","Wound Zoom Analysis Software")</f>
      </c>
      <c r="B1704" s="4" t="s">
        <v>2369</v>
      </c>
      <c r="C1704" s="9" t="s">
        <v>6</v>
      </c>
      <c r="D1704" s="12" t="s">
        <v>2370</v>
      </c>
    </row>
    <row r="1705">
      <c r="A1705" s="5">
        <f>HYPERLINK("https://www.oit.va.gov/Services/TRM/ToolPage.aspx?tid=6188^","Xming")</f>
      </c>
      <c r="B1705" s="4" t="s">
        <v>2371</v>
      </c>
      <c r="C1705" s="9" t="s">
        <v>6</v>
      </c>
      <c r="D1705" s="12" t="s">
        <v>2372</v>
      </c>
    </row>
    <row r="1706">
      <c r="A1706" s="5">
        <f>HYPERLINK("https://www.oit.va.gov/Services/TRM/ToolPage.aspx?tid=8463^","ZAP Business Intelligence (BI)")</f>
      </c>
      <c r="B1706" s="4" t="s">
        <v>2373</v>
      </c>
      <c r="C1706" s="9" t="s">
        <v>6</v>
      </c>
      <c r="D1706" s="12" t="s">
        <v>2374</v>
      </c>
    </row>
    <row r="1707">
      <c r="A1707" s="5">
        <f>HYPERLINK("https://www.oit.va.gov/Services/TRM/ToolPage.aspx?tid=13326^","Zebra Scanner Software Developer Kit (SDK)")</f>
      </c>
      <c r="B1707" s="4" t="s">
        <v>1637</v>
      </c>
      <c r="C1707" s="9" t="s">
        <v>6</v>
      </c>
      <c r="D1707" s="12" t="s">
        <v>2375</v>
      </c>
    </row>
    <row r="1708">
      <c r="A1708" s="5">
        <f>HYPERLINK("https://www.oit.va.gov/Services/TRM/ToolPage.aspx?tid=8466^","Zenaware Monitor")</f>
      </c>
      <c r="B1708" s="4" t="s">
        <v>2376</v>
      </c>
      <c r="C1708" s="9" t="s">
        <v>6</v>
      </c>
      <c r="D1708" s="12" t="s">
        <v>2377</v>
      </c>
    </row>
    <row r="1709">
      <c r="A1709" s="5">
        <f>HYPERLINK("https://www.oit.va.gov/Services/TRM/ToolPage.aspx?tid=9820^","ZIP")</f>
      </c>
      <c r="B1709" s="4" t="s">
        <v>2378</v>
      </c>
      <c r="C1709" s="9" t="s">
        <v>6</v>
      </c>
      <c r="D1709" s="12" t="s">
        <v>2379</v>
      </c>
    </row>
    <row r="1710">
      <c r="A1710" s="5">
        <f>HYPERLINK("https://www.oit.va.gov/Services/TRM/ToolPage.aspx?tid=9044^","Actian Zen Embedded Database")</f>
      </c>
      <c r="B1710" s="4" t="s">
        <v>1310</v>
      </c>
      <c r="C1710" s="9" t="s">
        <v>6</v>
      </c>
      <c r="D1710" s="12" t="s">
        <v>1716</v>
      </c>
    </row>
    <row r="1711">
      <c r="A1711" s="5">
        <f>HYPERLINK("https://www.oit.va.gov/Services/TRM/ToolPage.aspx?tid=7371^","APL+Win")</f>
      </c>
      <c r="B1711" s="4" t="s">
        <v>331</v>
      </c>
      <c r="C1711" s="9" t="s">
        <v>6</v>
      </c>
      <c r="D1711" s="12" t="s">
        <v>2380</v>
      </c>
    </row>
    <row r="1712">
      <c r="A1712" s="5">
        <f>HYPERLINK("https://www.oit.va.gov/Services/TRM/ToolPage.aspx?tid=9089^","AppClarity")</f>
      </c>
      <c r="B1712" s="4" t="s">
        <v>559</v>
      </c>
      <c r="C1712" s="9" t="s">
        <v>6</v>
      </c>
      <c r="D1712" s="12" t="s">
        <v>2381</v>
      </c>
    </row>
    <row r="1713">
      <c r="A1713" s="5">
        <f>HYPERLINK("https://www.oit.va.gov/Services/TRM/ToolPage.aspx?tid=16142^","Aspose.Imaging for .NET")</f>
      </c>
      <c r="B1713" s="4" t="s">
        <v>368</v>
      </c>
      <c r="C1713" s="9" t="s">
        <v>6</v>
      </c>
      <c r="D1713" s="12" t="s">
        <v>2382</v>
      </c>
    </row>
    <row r="1714">
      <c r="A1714" s="5">
        <f>HYPERLINK("https://www.oit.va.gov/Services/TRM/ToolPage.aspx?tid=9552^","AuthentXware")</f>
      </c>
      <c r="B1714" s="4" t="s">
        <v>2383</v>
      </c>
      <c r="C1714" s="9" t="s">
        <v>6</v>
      </c>
      <c r="D1714" s="12" t="s">
        <v>535</v>
      </c>
    </row>
    <row r="1715">
      <c r="A1715" s="5">
        <f>HYPERLINK("https://www.oit.va.gov/Services/TRM/ToolPage.aspx?tid=10486^","Automated Cost Estimating Integrated Tools (ACEIT)")</f>
      </c>
      <c r="B1715" s="4" t="s">
        <v>2384</v>
      </c>
      <c r="C1715" s="9" t="s">
        <v>6</v>
      </c>
      <c r="D1715" s="12" t="s">
        <v>2385</v>
      </c>
    </row>
    <row r="1716">
      <c r="A1716" s="5">
        <f>HYPERLINK("https://www.oit.va.gov/Services/TRM/ToolPage.aspx?tid=8193^","Avaya one-X Communicator")</f>
      </c>
      <c r="B1716" s="4" t="s">
        <v>1803</v>
      </c>
      <c r="C1716" s="9" t="s">
        <v>6</v>
      </c>
      <c r="D1716" s="12" t="s">
        <v>2386</v>
      </c>
    </row>
    <row r="1717">
      <c r="A1717" s="5">
        <f>HYPERLINK("https://www.oit.va.gov/Services/TRM/ToolPage.aspx?tid=14385^","Boardmaker")</f>
      </c>
      <c r="B1717" s="4" t="s">
        <v>2387</v>
      </c>
      <c r="C1717" s="9" t="s">
        <v>6</v>
      </c>
      <c r="D1717" s="12" t="s">
        <v>2388</v>
      </c>
    </row>
    <row r="1718">
      <c r="A1718" s="5">
        <f>HYPERLINK("https://www.oit.va.gov/Services/TRM/ToolPage.aspx?tid=9009^","Desigo CC")</f>
      </c>
      <c r="B1718" s="4" t="s">
        <v>1469</v>
      </c>
      <c r="C1718" s="9" t="s">
        <v>6</v>
      </c>
      <c r="D1718" s="12" t="s">
        <v>2389</v>
      </c>
    </row>
    <row r="1719">
      <c r="A1719" s="5">
        <f>HYPERLINK("https://www.oit.va.gov/Services/TRM/ToolPage.aspx?tid=16136^","Digital Monitoring Products (DMP) Remote Link")</f>
      </c>
      <c r="B1719" s="4" t="s">
        <v>2390</v>
      </c>
      <c r="C1719" s="9" t="s">
        <v>6</v>
      </c>
      <c r="D1719" s="12" t="s">
        <v>2391</v>
      </c>
    </row>
    <row r="1720">
      <c r="A1720" s="5">
        <f>HYPERLINK("https://www.oit.va.gov/Services/TRM/ToolPage.aspx?tid=10579^","DymaxIO")</f>
      </c>
      <c r="B1720" s="4" t="s">
        <v>2392</v>
      </c>
      <c r="C1720" s="9" t="s">
        <v>6</v>
      </c>
      <c r="D1720" s="12" t="s">
        <v>2393</v>
      </c>
    </row>
    <row r="1721">
      <c r="A1721" s="5">
        <f>HYPERLINK("https://www.oit.va.gov/Services/TRM/ToolPage.aspx?tid=6956^","Edge Technologies AppBoard")</f>
      </c>
      <c r="B1721" s="4" t="s">
        <v>2394</v>
      </c>
      <c r="C1721" s="9" t="s">
        <v>6</v>
      </c>
      <c r="D1721" s="12" t="s">
        <v>2395</v>
      </c>
    </row>
    <row r="1722">
      <c r="A1722" s="5">
        <f>HYPERLINK("https://www.oit.va.gov/Services/TRM/ToolPage.aspx?tid=9764^","Financial Edge NXT")</f>
      </c>
      <c r="B1722" s="4" t="s">
        <v>2396</v>
      </c>
      <c r="C1722" s="9" t="s">
        <v>6</v>
      </c>
      <c r="D1722" s="12" t="s">
        <v>2397</v>
      </c>
    </row>
    <row r="1723">
      <c r="A1723" s="5">
        <f>HYPERLINK("https://www.oit.va.gov/Services/TRM/ToolPage.aspx?tid=15859^","FlashGrid Cluster")</f>
      </c>
      <c r="B1723" s="4" t="s">
        <v>2398</v>
      </c>
      <c r="C1723" s="9" t="s">
        <v>6</v>
      </c>
      <c r="D1723" s="12" t="s">
        <v>2399</v>
      </c>
    </row>
    <row r="1724">
      <c r="A1724" s="5">
        <f>HYPERLINK("https://www.oit.va.gov/Services/TRM/ToolPage.aspx?tid=13923^","GNU Privacy Guard for Windows (Gpg4win)")</f>
      </c>
      <c r="B1724" s="4" t="s">
        <v>2400</v>
      </c>
      <c r="C1724" s="9" t="s">
        <v>6</v>
      </c>
      <c r="D1724" s="12" t="s">
        <v>2401</v>
      </c>
    </row>
    <row r="1725">
      <c r="A1725" s="5">
        <f>HYPERLINK("https://www.oit.va.gov/Services/TRM/ToolPage.aspx?tid=8626^","Infragistics ASP.Net")</f>
      </c>
      <c r="B1725" s="4" t="s">
        <v>623</v>
      </c>
      <c r="C1725" s="9" t="s">
        <v>6</v>
      </c>
      <c r="D1725" s="12" t="s">
        <v>2011</v>
      </c>
    </row>
    <row r="1726">
      <c r="A1726" s="5">
        <f>HYPERLINK("https://www.oit.va.gov/Services/TRM/ToolPage.aspx?tid=16772^","International Business Machines (IBM) Netezza Performance Server")</f>
      </c>
      <c r="B1726" s="4" t="s">
        <v>504</v>
      </c>
      <c r="C1726" s="9" t="s">
        <v>6</v>
      </c>
      <c r="D1726" s="12" t="s">
        <v>2402</v>
      </c>
    </row>
    <row r="1727">
      <c r="A1727" s="5">
        <f>HYPERLINK("https://www.oit.va.gov/Services/TRM/ToolPage.aspx?tid=10677^","Knowledge Based_Structured Query Language (KB_SQL)")</f>
      </c>
      <c r="B1727" s="4" t="s">
        <v>2403</v>
      </c>
      <c r="C1727" s="9" t="s">
        <v>6</v>
      </c>
      <c r="D1727" s="12" t="s">
        <v>2404</v>
      </c>
    </row>
    <row r="1728">
      <c r="A1728" s="5">
        <f>HYPERLINK("https://www.oit.va.gov/Services/TRM/ToolPage.aspx?tid=7758^","LibreOffice")</f>
      </c>
      <c r="B1728" s="4" t="s">
        <v>2405</v>
      </c>
      <c r="C1728" s="9" t="s">
        <v>6</v>
      </c>
      <c r="D1728" s="12" t="s">
        <v>2406</v>
      </c>
    </row>
    <row r="1729">
      <c r="A1729" s="5">
        <f>HYPERLINK("https://www.oit.va.gov/Services/TRM/ToolPage.aspx?tid=16600^","NDI Tools (Windows)")</f>
      </c>
      <c r="B1729" s="4" t="s">
        <v>2407</v>
      </c>
      <c r="C1729" s="9" t="s">
        <v>6</v>
      </c>
      <c r="D1729" s="12" t="s">
        <v>2408</v>
      </c>
    </row>
    <row r="1730">
      <c r="A1730" s="5">
        <f>HYPERLINK("https://www.oit.va.gov/Services/TRM/ToolPage.aspx?tid=16493^","novaPDF Software Development Kit (SDK)")</f>
      </c>
      <c r="B1730" s="4" t="s">
        <v>2409</v>
      </c>
      <c r="C1730" s="9" t="s">
        <v>6</v>
      </c>
      <c r="D1730" s="12" t="s">
        <v>2410</v>
      </c>
    </row>
    <row r="1731">
      <c r="A1731" s="5">
        <f>HYPERLINK("https://www.oit.va.gov/Services/TRM/ToolPage.aspx?tid=13840^","Office Tab")</f>
      </c>
      <c r="B1731" s="4" t="s">
        <v>385</v>
      </c>
      <c r="C1731" s="9" t="s">
        <v>6</v>
      </c>
      <c r="D1731" s="12" t="s">
        <v>2411</v>
      </c>
    </row>
    <row r="1732">
      <c r="A1732" s="5">
        <f>HYPERLINK("https://www.oit.va.gov/Services/TRM/ToolPage.aspx?tid=11522^","Open Object Rexx (ooRexx)")</f>
      </c>
      <c r="B1732" s="4" t="s">
        <v>2412</v>
      </c>
      <c r="C1732" s="9" t="s">
        <v>6</v>
      </c>
      <c r="D1732" s="12" t="s">
        <v>1593</v>
      </c>
    </row>
    <row r="1733">
      <c r="A1733" s="5">
        <f>HYPERLINK("https://www.oit.va.gov/Services/TRM/ToolPage.aspx?tid=6887^","OpenText LiquidOffice")</f>
      </c>
      <c r="B1733" s="4" t="s">
        <v>651</v>
      </c>
      <c r="C1733" s="9" t="s">
        <v>6</v>
      </c>
      <c r="D1733" s="12" t="s">
        <v>2413</v>
      </c>
    </row>
    <row r="1734">
      <c r="A1734" s="5">
        <f>HYPERLINK("https://www.oit.va.gov/Services/TRM/ToolPage.aspx?tid=6915^","Oracle Integration Adapters")</f>
      </c>
      <c r="B1734" s="4" t="s">
        <v>136</v>
      </c>
      <c r="C1734" s="9" t="s">
        <v>6</v>
      </c>
      <c r="D1734" s="12" t="s">
        <v>2413</v>
      </c>
    </row>
    <row r="1735">
      <c r="A1735" s="5">
        <f>HYPERLINK("https://www.oit.va.gov/Services/TRM/ToolPage.aspx?tid=9408^","OSForensics")</f>
      </c>
      <c r="B1735" s="4" t="s">
        <v>2414</v>
      </c>
      <c r="C1735" s="9" t="s">
        <v>6</v>
      </c>
      <c r="D1735" s="12" t="s">
        <v>1182</v>
      </c>
    </row>
    <row r="1736">
      <c r="A1736" s="5">
        <f>HYPERLINK("https://www.oit.va.gov/Services/TRM/ToolPage.aspx?tid=6095^","PC-Duo")</f>
      </c>
      <c r="B1736" s="4" t="s">
        <v>2415</v>
      </c>
      <c r="C1736" s="9" t="s">
        <v>6</v>
      </c>
      <c r="D1736" s="12" t="s">
        <v>2416</v>
      </c>
    </row>
    <row r="1737">
      <c r="A1737" s="5">
        <f>HYPERLINK("https://www.oit.va.gov/Services/TRM/ToolPage.aspx?tid=10941^","Portable Document Format (PDF) Architect")</f>
      </c>
      <c r="B1737" s="4" t="s">
        <v>2417</v>
      </c>
      <c r="C1737" s="9" t="s">
        <v>6</v>
      </c>
      <c r="D1737" s="12" t="s">
        <v>2418</v>
      </c>
    </row>
    <row r="1738">
      <c r="A1738" s="5">
        <f>HYPERLINK("https://www.oit.va.gov/Services/TRM/ToolPage.aspx?tid=15834^","SAPIEN Document Explorer")</f>
      </c>
      <c r="B1738" s="4" t="s">
        <v>2419</v>
      </c>
      <c r="C1738" s="9" t="s">
        <v>6</v>
      </c>
      <c r="D1738" s="12" t="s">
        <v>2420</v>
      </c>
    </row>
    <row r="1739">
      <c r="A1739" s="5">
        <f>HYPERLINK("https://www.oit.va.gov/Services/TRM/ToolPage.aspx?tid=8487^","Security Event Manager (SEM)")</f>
      </c>
      <c r="B1739" s="4" t="s">
        <v>431</v>
      </c>
      <c r="C1739" s="9" t="s">
        <v>6</v>
      </c>
      <c r="D1739" s="12" t="s">
        <v>2421</v>
      </c>
    </row>
    <row r="1740">
      <c r="A1740" s="5">
        <f>HYPERLINK("https://www.oit.va.gov/Services/TRM/ToolPage.aspx?tid=14003^","SSL Network Extender")</f>
      </c>
      <c r="B1740" s="4" t="s">
        <v>2129</v>
      </c>
      <c r="C1740" s="9" t="s">
        <v>6</v>
      </c>
      <c r="D1740" s="12" t="s">
        <v>2422</v>
      </c>
    </row>
    <row r="1741">
      <c r="A1741" s="5">
        <f>HYPERLINK("https://www.oit.va.gov/Services/TRM/ToolPage.aspx?tid=6478^","Systems Insight Manager")</f>
      </c>
      <c r="B1741" s="4" t="s">
        <v>302</v>
      </c>
      <c r="C1741" s="9" t="s">
        <v>6</v>
      </c>
      <c r="D1741" s="12" t="s">
        <v>787</v>
      </c>
    </row>
    <row r="1742">
      <c r="A1742" s="5">
        <f>HYPERLINK("https://www.oit.va.gov/Services/TRM/ToolPage.aspx?tid=6173^","Virtual Network Computing (VNC) Connect")</f>
      </c>
      <c r="B1742" s="4" t="s">
        <v>2423</v>
      </c>
      <c r="C1742" s="9" t="s">
        <v>6</v>
      </c>
      <c r="D1742" s="12" t="s">
        <v>2424</v>
      </c>
    </row>
    <row r="1743">
      <c r="A1743" s="5">
        <f>HYPERLINK("https://www.oit.va.gov/Services/TRM/ToolPage.aspx?tid=8318^","VisionStar Laboratory Management System (LMS)")</f>
      </c>
      <c r="B1743" s="4" t="s">
        <v>2425</v>
      </c>
      <c r="C1743" s="9" t="s">
        <v>6</v>
      </c>
      <c r="D1743" s="12" t="s">
        <v>2426</v>
      </c>
    </row>
    <row r="1744">
      <c r="A1744" s="5">
        <f>HYPERLINK("https://www.oit.va.gov/Services/TRM/ToolPage.aspx?tid=8372^","Vitalcast")</f>
      </c>
      <c r="B1744" s="4" t="s">
        <v>2427</v>
      </c>
      <c r="C1744" s="9" t="s">
        <v>6</v>
      </c>
      <c r="D1744" s="12" t="s">
        <v>2428</v>
      </c>
    </row>
    <row r="1745">
      <c r="A1745" s="5">
        <f>HYPERLINK("https://www.oit.va.gov/Services/TRM/ToolPage.aspx?tid=6185^","Wireshark")</f>
      </c>
      <c r="B1745" s="4" t="s">
        <v>2429</v>
      </c>
      <c r="C1745" s="9" t="s">
        <v>6</v>
      </c>
      <c r="D1745" s="12" t="s">
        <v>2430</v>
      </c>
    </row>
    <row r="1746">
      <c r="A1746" s="5">
        <f>HYPERLINK("https://www.oit.va.gov/Services/TRM/ToolPage.aspx?tid=10754^","XenApp Software Development Kit (SDK)")</f>
      </c>
      <c r="B1746" s="4" t="s">
        <v>515</v>
      </c>
      <c r="C1746" s="9" t="s">
        <v>6</v>
      </c>
      <c r="D1746" s="12" t="s">
        <v>1721</v>
      </c>
    </row>
    <row r="1747">
      <c r="A1747" s="5">
        <f>HYPERLINK("https://www.oit.va.gov/Services/TRM/ToolPage.aspx?tid=11482^","389 Directory Server")</f>
      </c>
      <c r="B1747" s="4" t="s">
        <v>2431</v>
      </c>
      <c r="C1747" s="9" t="s">
        <v>6</v>
      </c>
      <c r="D1747" s="12" t="s">
        <v>2432</v>
      </c>
    </row>
    <row r="1748">
      <c r="A1748" s="5">
        <f>HYPERLINK("https://www.oit.va.gov/Services/TRM/ToolPage.aspx?tid=8224^","7 Sticky Notes")</f>
      </c>
      <c r="B1748" s="4" t="s">
        <v>2433</v>
      </c>
      <c r="C1748" s="9" t="s">
        <v>6</v>
      </c>
      <c r="D1748" s="12" t="s">
        <v>2434</v>
      </c>
    </row>
    <row r="1749">
      <c r="A1749" s="5">
        <f>HYPERLINK("https://www.oit.va.gov/Services/TRM/ToolPage.aspx?tid=12894^","Active Strategy Enterprise (ASE)")</f>
      </c>
      <c r="B1749" s="4" t="s">
        <v>2435</v>
      </c>
      <c r="C1749" s="9" t="s">
        <v>6</v>
      </c>
      <c r="D1749" s="12" t="s">
        <v>2436</v>
      </c>
    </row>
    <row r="1750">
      <c r="A1750" s="5">
        <f>HYPERLINK("https://www.oit.va.gov/Services/TRM/ToolPage.aspx?tid=7145^","Advanced Clinical Solutions (ACS)")</f>
      </c>
      <c r="B1750" s="4" t="s">
        <v>666</v>
      </c>
      <c r="C1750" s="9" t="s">
        <v>6</v>
      </c>
      <c r="D1750" s="12" t="s">
        <v>2437</v>
      </c>
    </row>
    <row r="1751">
      <c r="A1751" s="5">
        <f>HYPERLINK("https://www.oit.va.gov/Services/TRM/ToolPage.aspx?tid=16659^","Basic Unit-Transposable Text Experimentation Resource (BUTTER)")</f>
      </c>
      <c r="B1751" s="4" t="s">
        <v>2438</v>
      </c>
      <c r="C1751" s="9" t="s">
        <v>6</v>
      </c>
      <c r="D1751" s="12" t="s">
        <v>2439</v>
      </c>
    </row>
    <row r="1752">
      <c r="A1752" s="5">
        <f>HYPERLINK("https://www.oit.va.gov/Services/TRM/ToolPage.aspx?tid=13788^","Billing Analysis Tool")</f>
      </c>
      <c r="B1752" s="4" t="s">
        <v>2440</v>
      </c>
      <c r="C1752" s="9" t="s">
        <v>6</v>
      </c>
      <c r="D1752" s="12" t="s">
        <v>2441</v>
      </c>
    </row>
    <row r="1753">
      <c r="A1753" s="5">
        <f>HYPERLINK("https://www.oit.va.gov/Services/TRM/ToolPage.aspx?tid=13242^","Blackberry Workspaces")</f>
      </c>
      <c r="B1753" s="4" t="s">
        <v>1646</v>
      </c>
      <c r="C1753" s="9" t="s">
        <v>6</v>
      </c>
      <c r="D1753" s="12" t="s">
        <v>2442</v>
      </c>
    </row>
    <row r="1754">
      <c r="A1754" s="5">
        <f>HYPERLINK("https://www.oit.va.gov/Services/TRM/ToolPage.aspx?tid=8727^","Blackboard Collaborate Launcher")</f>
      </c>
      <c r="B1754" s="4" t="s">
        <v>2443</v>
      </c>
      <c r="C1754" s="9" t="s">
        <v>6</v>
      </c>
      <c r="D1754" s="12" t="s">
        <v>2444</v>
      </c>
    </row>
    <row r="1755">
      <c r="A1755" s="5">
        <f>HYPERLINK("https://www.oit.va.gov/Services/TRM/ToolPage.aspx?tid=15441^","Box for Office Integrations")</f>
      </c>
      <c r="B1755" s="4" t="s">
        <v>2445</v>
      </c>
      <c r="C1755" s="9" t="s">
        <v>6</v>
      </c>
      <c r="D1755" s="12" t="s">
        <v>2446</v>
      </c>
    </row>
    <row r="1756">
      <c r="A1756" s="5">
        <f>HYPERLINK("https://www.oit.va.gov/Services/TRM/ToolPage.aspx?tid=13812^","BoxCryptor")</f>
      </c>
      <c r="B1756" s="4" t="s">
        <v>2445</v>
      </c>
      <c r="C1756" s="9" t="s">
        <v>6</v>
      </c>
      <c r="D1756" s="12" t="s">
        <v>2447</v>
      </c>
    </row>
    <row r="1757">
      <c r="A1757" s="5">
        <f>HYPERLINK("https://www.oit.va.gov/Services/TRM/ToolPage.aspx?tid=15807^","Brother Barcode Utility")</f>
      </c>
      <c r="B1757" s="4" t="s">
        <v>2448</v>
      </c>
      <c r="C1757" s="9" t="s">
        <v>6</v>
      </c>
      <c r="D1757" s="12" t="s">
        <v>2449</v>
      </c>
    </row>
    <row r="1758">
      <c r="A1758" s="5">
        <f>HYPERLINK("https://www.oit.va.gov/Services/TRM/StandardPage.aspx?tid=6312^","C# Programming Language")</f>
      </c>
      <c r="B1758" s="4" t="s">
        <v>2450</v>
      </c>
      <c r="C1758" s="9" t="s">
        <v>6</v>
      </c>
      <c r="D1758" s="12" t="s">
        <v>2451</v>
      </c>
    </row>
    <row r="1759">
      <c r="A1759" s="5">
        <f>HYPERLINK("https://www.oit.va.gov/Services/TRM/ToolPage.aspx?tid=8383^","CA Datacom/DB")</f>
      </c>
      <c r="B1759" s="4" t="s">
        <v>347</v>
      </c>
      <c r="C1759" s="9" t="s">
        <v>6</v>
      </c>
      <c r="D1759" s="12" t="s">
        <v>2452</v>
      </c>
    </row>
    <row r="1760">
      <c r="A1760" s="5">
        <f>HYPERLINK("https://www.oit.va.gov/Services/TRM/ToolPage.aspx?tid=15233^","Calendly for Outlook")</f>
      </c>
      <c r="B1760" s="4" t="s">
        <v>2453</v>
      </c>
      <c r="C1760" s="9" t="s">
        <v>6</v>
      </c>
      <c r="D1760" s="12" t="s">
        <v>2454</v>
      </c>
    </row>
    <row r="1761">
      <c r="A1761" s="5">
        <f>HYPERLINK("https://www.oit.va.gov/Services/TRM/ToolPage.aspx?tid=14528^","Carta Cartographer")</f>
      </c>
      <c r="B1761" s="4" t="s">
        <v>2455</v>
      </c>
      <c r="C1761" s="9" t="s">
        <v>6</v>
      </c>
      <c r="D1761" s="12" t="s">
        <v>2456</v>
      </c>
    </row>
    <row r="1762">
      <c r="A1762" s="5">
        <f>HYPERLINK("https://www.oit.va.gov/Services/TRM/ToolPage.aspx?tid=9791^","Cisco Unified Communications Manager IM and Presence Service")</f>
      </c>
      <c r="B1762" s="4" t="s">
        <v>353</v>
      </c>
      <c r="C1762" s="9" t="s">
        <v>6</v>
      </c>
      <c r="D1762" s="12" t="s">
        <v>2457</v>
      </c>
    </row>
    <row r="1763">
      <c r="A1763" s="5">
        <f>HYPERLINK("https://www.oit.va.gov/Services/TRM/ToolPage.aspx?tid=9176^","Concurrent")</f>
      </c>
      <c r="B1763" s="4" t="s">
        <v>136</v>
      </c>
      <c r="C1763" s="9" t="s">
        <v>6</v>
      </c>
      <c r="D1763" s="12" t="s">
        <v>2458</v>
      </c>
    </row>
    <row r="1764">
      <c r="A1764" s="5">
        <f>HYPERLINK("https://www.oit.va.gov/Services/TRM/ToolPage.aspx?tid=10227^","Conditional Random Field Suite (CRFsuite)")</f>
      </c>
      <c r="B1764" s="4" t="s">
        <v>2459</v>
      </c>
      <c r="C1764" s="9" t="s">
        <v>6</v>
      </c>
      <c r="D1764" s="12" t="s">
        <v>2460</v>
      </c>
    </row>
    <row r="1765">
      <c r="A1765" s="5">
        <f>HYPERLINK("https://www.oit.va.gov/Services/TRM/ToolPage.aspx?tid=10446^","Content Governance for SharePoint")</f>
      </c>
      <c r="B1765" s="4" t="s">
        <v>2461</v>
      </c>
      <c r="C1765" s="9" t="s">
        <v>6</v>
      </c>
      <c r="D1765" s="12" t="s">
        <v>2462</v>
      </c>
    </row>
    <row r="1766">
      <c r="A1766" s="5">
        <f>HYPERLINK("https://www.oit.va.gov/Services/TRM/ToolPage.aspx?tid=11752^","Dapper.FluentMap")</f>
      </c>
      <c r="B1766" s="4" t="s">
        <v>2463</v>
      </c>
      <c r="C1766" s="9" t="s">
        <v>6</v>
      </c>
      <c r="D1766" s="12" t="s">
        <v>1033</v>
      </c>
    </row>
    <row r="1767">
      <c r="A1767" s="5">
        <f>HYPERLINK("https://www.oit.va.gov/Services/TRM/ToolPage.aspx?tid=11163^","Database Lifecycle Management (DLM) Dashboard")</f>
      </c>
      <c r="B1767" s="4" t="s">
        <v>439</v>
      </c>
      <c r="C1767" s="9" t="s">
        <v>6</v>
      </c>
      <c r="D1767" s="12" t="s">
        <v>2464</v>
      </c>
    </row>
    <row r="1768">
      <c r="A1768" s="5">
        <f>HYPERLINK("https://www.oit.va.gov/Services/TRM/ToolPage.aspx?tid=6689^","Database Oasis")</f>
      </c>
      <c r="B1768" s="4" t="s">
        <v>2465</v>
      </c>
      <c r="C1768" s="9" t="s">
        <v>6</v>
      </c>
      <c r="D1768" s="12" t="s">
        <v>604</v>
      </c>
    </row>
    <row r="1769">
      <c r="A1769" s="5">
        <f>HYPERLINK("https://www.oit.va.gov/Services/TRM/ToolPage.aspx?tid=14908^","Datacom/AD")</f>
      </c>
      <c r="B1769" s="4" t="s">
        <v>347</v>
      </c>
      <c r="C1769" s="9" t="s">
        <v>6</v>
      </c>
      <c r="D1769" s="12" t="s">
        <v>2466</v>
      </c>
    </row>
    <row r="1770">
      <c r="A1770" s="5">
        <f>HYPERLINK("https://www.oit.va.gov/Services/TRM/ToolPage.aspx?tid=11086^","dbForge Structured Query Language (SQL) Complete")</f>
      </c>
      <c r="B1770" s="4" t="s">
        <v>962</v>
      </c>
      <c r="C1770" s="9" t="s">
        <v>6</v>
      </c>
      <c r="D1770" s="12" t="s">
        <v>2467</v>
      </c>
    </row>
    <row r="1771">
      <c r="A1771" s="5">
        <f>HYPERLINK("https://www.oit.va.gov/Services/TRM/ToolPage.aspx?tid=13847^","Driver Support")</f>
      </c>
      <c r="B1771" s="4" t="s">
        <v>2468</v>
      </c>
      <c r="C1771" s="9" t="s">
        <v>6</v>
      </c>
      <c r="D1771" s="12" t="s">
        <v>2469</v>
      </c>
    </row>
    <row r="1772">
      <c r="A1772" s="5">
        <f>HYPERLINK("https://www.oit.va.gov/Services/TRM/ToolPage.aspx?tid=14355^","DRIVERAGENT")</f>
      </c>
      <c r="B1772" s="4" t="s">
        <v>2470</v>
      </c>
      <c r="C1772" s="9" t="s">
        <v>6</v>
      </c>
      <c r="D1772" s="12" t="s">
        <v>2471</v>
      </c>
    </row>
    <row r="1773">
      <c r="A1773" s="5">
        <f>HYPERLINK("https://www.oit.va.gov/Services/TRM/ToolPage.aspx?tid=15637^","DriverMax")</f>
      </c>
      <c r="B1773" s="4" t="s">
        <v>2472</v>
      </c>
      <c r="C1773" s="9" t="s">
        <v>6</v>
      </c>
      <c r="D1773" s="12" t="s">
        <v>2473</v>
      </c>
    </row>
    <row r="1774">
      <c r="A1774" s="5">
        <f>HYPERLINK("https://www.oit.va.gov/Services/TRM/ToolPage.aspx?tid=10863^","DriverToolkit")</f>
      </c>
      <c r="B1774" s="4" t="s">
        <v>2474</v>
      </c>
      <c r="C1774" s="9" t="s">
        <v>6</v>
      </c>
      <c r="D1774" s="12" t="s">
        <v>2185</v>
      </c>
    </row>
    <row r="1775">
      <c r="A1775" s="5">
        <f>HYPERLINK("https://www.oit.va.gov/Services/TRM/ToolPage.aspx?tid=11248^","DropBox")</f>
      </c>
      <c r="B1775" s="4" t="s">
        <v>2475</v>
      </c>
      <c r="C1775" s="9" t="s">
        <v>6</v>
      </c>
      <c r="D1775" s="12" t="s">
        <v>2476</v>
      </c>
    </row>
    <row r="1776">
      <c r="A1776" s="5">
        <f>HYPERLINK("https://www.oit.va.gov/Services/TRM/ToolPage.aspx?tid=11745^","Elasticsearch.js")</f>
      </c>
      <c r="B1776" s="4" t="s">
        <v>2477</v>
      </c>
      <c r="C1776" s="9" t="s">
        <v>6</v>
      </c>
      <c r="D1776" s="12" t="s">
        <v>2478</v>
      </c>
    </row>
    <row r="1777">
      <c r="A1777" s="5">
        <f>HYPERLINK("https://www.oit.va.gov/Services/TRM/ToolPage.aspx?tid=14101^","eM Client")</f>
      </c>
      <c r="B1777" s="4" t="s">
        <v>2479</v>
      </c>
      <c r="C1777" s="9" t="s">
        <v>6</v>
      </c>
      <c r="D1777" s="12" t="s">
        <v>2480</v>
      </c>
    </row>
    <row r="1778">
      <c r="A1778" s="5">
        <f>HYPERLINK("https://www.oit.va.gov/Services/TRM/ToolPage.aspx?tid=14732^","Environmental Management Systems (EMS) Chemical Inventory Management")</f>
      </c>
      <c r="B1778" s="4" t="s">
        <v>2481</v>
      </c>
      <c r="C1778" s="9" t="s">
        <v>6</v>
      </c>
      <c r="D1778" s="12" t="s">
        <v>2482</v>
      </c>
    </row>
    <row r="1779">
      <c r="A1779" s="5">
        <f>HYPERLINK("https://www.oit.va.gov/Services/TRM/ToolPage.aspx?tid=16255^","EpsonNet Print")</f>
      </c>
      <c r="B1779" s="4" t="s">
        <v>2483</v>
      </c>
      <c r="C1779" s="9" t="s">
        <v>6</v>
      </c>
      <c r="D1779" s="12" t="s">
        <v>2484</v>
      </c>
    </row>
    <row r="1780">
      <c r="A1780" s="5">
        <f>HYPERLINK("https://www.oit.va.gov/Services/TRM/ToolPage.aspx?tid=15432^","eVue Laundry System")</f>
      </c>
      <c r="B1780" s="4" t="s">
        <v>2485</v>
      </c>
      <c r="C1780" s="9" t="s">
        <v>6</v>
      </c>
      <c r="D1780" s="12" t="s">
        <v>2486</v>
      </c>
    </row>
    <row r="1781">
      <c r="A1781" s="5">
        <f>HYPERLINK("https://www.oit.va.gov/Services/TRM/ToolPage.aspx?tid=11219^","Facebook Messenger for Windows")</f>
      </c>
      <c r="B1781" s="4" t="s">
        <v>2487</v>
      </c>
      <c r="C1781" s="9" t="s">
        <v>6</v>
      </c>
      <c r="D1781" s="12" t="s">
        <v>2488</v>
      </c>
    </row>
    <row r="1782">
      <c r="A1782" s="5">
        <f>HYPERLINK("https://www.oit.va.gov/Services/TRM/ToolPage.aspx?tid=10859^","Fiber Array Storage Technology Management Suite Java (FAStT MSJ)")</f>
      </c>
      <c r="B1782" s="4" t="s">
        <v>504</v>
      </c>
      <c r="C1782" s="9" t="s">
        <v>6</v>
      </c>
      <c r="D1782" s="12" t="s">
        <v>2489</v>
      </c>
    </row>
    <row r="1783">
      <c r="A1783" s="5">
        <f>HYPERLINK("https://www.oit.va.gov/Services/TRM/ToolPage.aspx?tid=10070^","FileTrail")</f>
      </c>
      <c r="B1783" s="4" t="s">
        <v>2490</v>
      </c>
      <c r="C1783" s="9" t="s">
        <v>6</v>
      </c>
      <c r="D1783" s="12" t="s">
        <v>2491</v>
      </c>
    </row>
    <row r="1784">
      <c r="A1784" s="5">
        <f>HYPERLINK("https://www.oit.va.gov/Services/TRM/ToolPage.aspx?tid=14579^","Fitbit Application")</f>
      </c>
      <c r="B1784" s="4" t="s">
        <v>2492</v>
      </c>
      <c r="C1784" s="9" t="s">
        <v>6</v>
      </c>
      <c r="D1784" s="12" t="s">
        <v>2493</v>
      </c>
    </row>
    <row r="1785">
      <c r="A1785" s="5">
        <f>HYPERLINK("https://www.oit.va.gov/Services/TRM/ToolPage.aspx?tid=10999^","Fyrite User Software")</f>
      </c>
      <c r="B1785" s="4" t="s">
        <v>2494</v>
      </c>
      <c r="C1785" s="9" t="s">
        <v>6</v>
      </c>
      <c r="D1785" s="12" t="s">
        <v>85</v>
      </c>
    </row>
    <row r="1786">
      <c r="A1786" s="5">
        <f>HYPERLINK("https://www.oit.va.gov/Services/TRM/ToolPage.aspx?tid=15056^","Gameroom")</f>
      </c>
      <c r="B1786" s="4" t="s">
        <v>2487</v>
      </c>
      <c r="C1786" s="9" t="s">
        <v>6</v>
      </c>
      <c r="D1786" s="12" t="s">
        <v>2495</v>
      </c>
    </row>
    <row r="1787">
      <c r="A1787" s="5">
        <f>HYPERLINK("https://www.oit.va.gov/Services/TRM/ToolPage.aspx?tid=16882^","Honeywell Command Line Scanner Management Utility Tool")</f>
      </c>
      <c r="B1787" s="4" t="s">
        <v>2496</v>
      </c>
      <c r="C1787" s="9" t="s">
        <v>6</v>
      </c>
      <c r="D1787" s="12" t="s">
        <v>89</v>
      </c>
    </row>
    <row r="1788">
      <c r="A1788" s="5">
        <f>HYPERLINK("https://www.oit.va.gov/Services/TRM/ToolPage.aspx?tid=10756^","Hyper Structured Query Language (HyperSQL) Database")</f>
      </c>
      <c r="B1788" s="4" t="s">
        <v>2497</v>
      </c>
      <c r="C1788" s="9" t="s">
        <v>6</v>
      </c>
      <c r="D1788" s="12" t="s">
        <v>2498</v>
      </c>
    </row>
    <row r="1789">
      <c r="A1789" s="5">
        <f>HYPERLINK("https://www.oit.va.gov/Services/TRM/ToolPage.aspx?tid=10045^","Ingres Database")</f>
      </c>
      <c r="B1789" s="4" t="s">
        <v>1310</v>
      </c>
      <c r="C1789" s="9" t="s">
        <v>6</v>
      </c>
      <c r="D1789" s="12" t="s">
        <v>2499</v>
      </c>
    </row>
    <row r="1790">
      <c r="A1790" s="5">
        <f>HYPERLINK("https://www.oit.va.gov/Services/TRM/ToolPage.aspx?tid=9709^","InterDriver")</f>
      </c>
      <c r="B1790" s="4" t="s">
        <v>2496</v>
      </c>
      <c r="C1790" s="9" t="s">
        <v>6</v>
      </c>
      <c r="D1790" s="12" t="s">
        <v>2500</v>
      </c>
    </row>
    <row r="1791">
      <c r="A1791" s="5">
        <f>HYPERLINK("https://www.oit.va.gov/Services/TRM/ToolPage.aspx?tid=11195^","i-STAT Data Exchange (DE)")</f>
      </c>
      <c r="B1791" s="4" t="s">
        <v>427</v>
      </c>
      <c r="C1791" s="9" t="s">
        <v>6</v>
      </c>
      <c r="D1791" s="12" t="s">
        <v>1199</v>
      </c>
    </row>
    <row r="1792">
      <c r="A1792" s="5">
        <f>HYPERLINK("https://www.oit.va.gov/Services/TRM/ToolPage.aspx?tid=11746^","Juice UI (User Interface)")</f>
      </c>
      <c r="B1792" s="4" t="s">
        <v>2501</v>
      </c>
      <c r="C1792" s="9" t="s">
        <v>6</v>
      </c>
      <c r="D1792" s="12" t="s">
        <v>2502</v>
      </c>
    </row>
    <row r="1793">
      <c r="A1793" s="5">
        <f>HYPERLINK("https://www.oit.va.gov/Services/TRM/ToolPage.aspx?tid=12959^","Kuando Busylight")</f>
      </c>
      <c r="B1793" s="4" t="s">
        <v>2503</v>
      </c>
      <c r="C1793" s="9" t="s">
        <v>6</v>
      </c>
      <c r="D1793" s="12" t="s">
        <v>1323</v>
      </c>
    </row>
    <row r="1794">
      <c r="A1794" s="5">
        <f>HYPERLINK("https://www.oit.va.gov/Services/TRM/ToolPage.aspx?tid=8279^","KWedge")</f>
      </c>
      <c r="B1794" s="4" t="s">
        <v>2504</v>
      </c>
      <c r="C1794" s="9" t="s">
        <v>6</v>
      </c>
      <c r="D1794" s="12" t="s">
        <v>52</v>
      </c>
    </row>
    <row r="1795">
      <c r="A1795" s="5">
        <f>HYPERLINK("https://www.oit.va.gov/Services/TRM/ToolPage.aspx?tid=15594^","LifePRO Digital Suite (LDS)")</f>
      </c>
      <c r="B1795" s="4" t="s">
        <v>1196</v>
      </c>
      <c r="C1795" s="9" t="s">
        <v>6</v>
      </c>
      <c r="D1795" s="12" t="s">
        <v>2505</v>
      </c>
    </row>
    <row r="1796">
      <c r="A1796" s="5">
        <f>HYPERLINK("https://www.oit.va.gov/Services/TRM/ToolPage.aspx?tid=6976^","LinFu Framework")</f>
      </c>
      <c r="B1796" s="4" t="s">
        <v>2506</v>
      </c>
      <c r="C1796" s="9" t="s">
        <v>6</v>
      </c>
      <c r="D1796" s="12" t="s">
        <v>2507</v>
      </c>
    </row>
    <row r="1797">
      <c r="A1797" s="5">
        <f>HYPERLINK("https://www.oit.va.gov/Services/TRM/ToolPage.aspx?tid=13097^","Maria Database (MariaDB) Server")</f>
      </c>
      <c r="B1797" s="4" t="s">
        <v>2508</v>
      </c>
      <c r="C1797" s="9" t="s">
        <v>6</v>
      </c>
      <c r="D1797" s="12" t="s">
        <v>2509</v>
      </c>
    </row>
    <row r="1798">
      <c r="A1798" s="5">
        <f>HYPERLINK("https://www.oit.va.gov/Services/TRM/ToolPage.aspx?tid=14393^","Mimer Structured Query Language (SQL)")</f>
      </c>
      <c r="B1798" s="4" t="s">
        <v>2510</v>
      </c>
      <c r="C1798" s="9" t="s">
        <v>6</v>
      </c>
      <c r="D1798" s="12" t="s">
        <v>2511</v>
      </c>
    </row>
    <row r="1799">
      <c r="A1799" s="5">
        <f>HYPERLINK("https://www.oit.va.gov/Services/TRM/ToolPage.aspx?tid=10755^","MonetDB")</f>
      </c>
      <c r="B1799" s="4" t="s">
        <v>2512</v>
      </c>
      <c r="C1799" s="9" t="s">
        <v>6</v>
      </c>
      <c r="D1799" s="12" t="s">
        <v>2513</v>
      </c>
    </row>
    <row r="1800">
      <c r="A1800" s="5">
        <f>HYPERLINK("https://www.oit.va.gov/Services/TRM/ToolPage.aspx?tid=10907^","MvcSiteMapProvider")</f>
      </c>
      <c r="B1800" s="4" t="s">
        <v>2514</v>
      </c>
      <c r="C1800" s="9" t="s">
        <v>6</v>
      </c>
      <c r="D1800" s="12" t="s">
        <v>2515</v>
      </c>
    </row>
    <row r="1801">
      <c r="A1801" s="5">
        <f>HYPERLINK("https://www.oit.va.gov/Services/TRM/ToolPage.aspx?tid=7517^","NamePrint Graphics")</f>
      </c>
      <c r="B1801" s="4" t="s">
        <v>2516</v>
      </c>
      <c r="C1801" s="9" t="s">
        <v>6</v>
      </c>
      <c r="D1801" s="12" t="s">
        <v>2517</v>
      </c>
    </row>
    <row r="1802">
      <c r="A1802" s="5">
        <f>HYPERLINK("https://www.oit.va.gov/Services/TRM/ToolPage.aspx?tid=12985^","Numbers")</f>
      </c>
      <c r="B1802" s="4" t="s">
        <v>1782</v>
      </c>
      <c r="C1802" s="9" t="s">
        <v>6</v>
      </c>
      <c r="D1802" s="12" t="s">
        <v>2518</v>
      </c>
    </row>
    <row r="1803">
      <c r="A1803" s="5">
        <f>HYPERLINK("https://www.oit.va.gov/Services/TRM/ToolPage.aspx?tid=10498^","NVivo Add-In for OneNote")</f>
      </c>
      <c r="B1803" s="4" t="s">
        <v>2519</v>
      </c>
      <c r="C1803" s="9" t="s">
        <v>6</v>
      </c>
      <c r="D1803" s="12" t="s">
        <v>2520</v>
      </c>
    </row>
    <row r="1804">
      <c r="A1804" s="5">
        <f>HYPERLINK("https://www.oit.va.gov/Services/TRM/StandardPage.aspx?tid=8252^","OAuth")</f>
      </c>
      <c r="B1804" s="4" t="s">
        <v>2521</v>
      </c>
      <c r="C1804" s="9" t="s">
        <v>6</v>
      </c>
      <c r="D1804" s="12" t="s">
        <v>2522</v>
      </c>
    </row>
    <row r="1805">
      <c r="A1805" s="5">
        <f>HYPERLINK("https://www.oit.va.gov/Services/TRM/ToolPage.aspx?tid=16878^","Ollama system")</f>
      </c>
      <c r="B1805" s="4" t="s">
        <v>2523</v>
      </c>
      <c r="C1805" s="9" t="s">
        <v>6</v>
      </c>
      <c r="D1805" s="12" t="s">
        <v>2524</v>
      </c>
    </row>
    <row r="1806">
      <c r="A1806" s="5">
        <f>HYPERLINK("https://www.oit.va.gov/Services/TRM/ToolPage.aspx?tid=12821^","OneStream XF")</f>
      </c>
      <c r="B1806" s="4" t="s">
        <v>2525</v>
      </c>
      <c r="C1806" s="9" t="s">
        <v>6</v>
      </c>
      <c r="D1806" s="12" t="s">
        <v>2526</v>
      </c>
    </row>
    <row r="1807">
      <c r="A1807" s="5">
        <f>HYPERLINK("https://www.oit.va.gov/Services/TRM/ToolPage.aspx?tid=16004^","OtoAccess Database")</f>
      </c>
      <c r="B1807" s="4" t="s">
        <v>760</v>
      </c>
      <c r="C1807" s="9" t="s">
        <v>6</v>
      </c>
      <c r="D1807" s="12" t="s">
        <v>2527</v>
      </c>
    </row>
    <row r="1808">
      <c r="A1808" s="5">
        <f>HYPERLINK("https://www.oit.va.gov/Services/TRM/ToolPage.aspx?tid=10868^","Oyedata")</f>
      </c>
      <c r="B1808" s="4" t="s">
        <v>2528</v>
      </c>
      <c r="C1808" s="9" t="s">
        <v>6</v>
      </c>
      <c r="D1808" s="12" t="s">
        <v>2529</v>
      </c>
    </row>
    <row r="1809">
      <c r="A1809" s="5">
        <f>HYPERLINK("https://www.oit.va.gov/Services/TRM/ToolPage.aspx?tid=8729^","PowerShow")</f>
      </c>
      <c r="B1809" s="4" t="s">
        <v>2530</v>
      </c>
      <c r="C1809" s="9" t="s">
        <v>6</v>
      </c>
      <c r="D1809" s="12" t="s">
        <v>2531</v>
      </c>
    </row>
    <row r="1810">
      <c r="A1810" s="5">
        <f>HYPERLINK("https://www.oit.va.gov/Services/TRM/ToolPage.aspx?tid=10590^","Proofpoint Mail Routing Agent (MRA)")</f>
      </c>
      <c r="B1810" s="4" t="s">
        <v>2532</v>
      </c>
      <c r="C1810" s="9" t="s">
        <v>6</v>
      </c>
      <c r="D1810" s="12" t="s">
        <v>2533</v>
      </c>
    </row>
    <row r="1811">
      <c r="A1811" s="5">
        <f>HYPERLINK("https://www.oit.va.gov/Services/TRM/ToolPage.aspx?tid=7932^","Quattro Pro")</f>
      </c>
      <c r="B1811" s="4" t="s">
        <v>2360</v>
      </c>
      <c r="C1811" s="9" t="s">
        <v>6</v>
      </c>
      <c r="D1811" s="12" t="s">
        <v>2534</v>
      </c>
    </row>
    <row r="1812">
      <c r="A1812" s="5">
        <f>HYPERLINK("https://www.oit.va.gov/Services/TRM/ToolPage.aspx?tid=11156^","RaySafe i2")</f>
      </c>
      <c r="B1812" s="4" t="s">
        <v>2535</v>
      </c>
      <c r="C1812" s="9" t="s">
        <v>6</v>
      </c>
      <c r="D1812" s="12" t="s">
        <v>2536</v>
      </c>
    </row>
    <row r="1813">
      <c r="A1813" s="5">
        <f>HYPERLINK("https://www.oit.va.gov/Services/TRM/ToolPage.aspx?tid=10602^","Remote Education, Augmented Communication, Training and Supervision (REACTS)")</f>
      </c>
      <c r="B1813" s="4" t="s">
        <v>2537</v>
      </c>
      <c r="C1813" s="9" t="s">
        <v>6</v>
      </c>
      <c r="D1813" s="12" t="s">
        <v>2538</v>
      </c>
    </row>
    <row r="1814">
      <c r="A1814" s="5">
        <f>HYPERLINK("https://www.oit.va.gov/Services/TRM/ToolPage.aspx?tid=13009^","RestSharp")</f>
      </c>
      <c r="B1814" s="4" t="s">
        <v>2539</v>
      </c>
      <c r="C1814" s="9" t="s">
        <v>6</v>
      </c>
      <c r="D1814" s="12" t="s">
        <v>2540</v>
      </c>
    </row>
    <row r="1815">
      <c r="A1815" s="5">
        <f>HYPERLINK("https://www.oit.va.gov/Services/TRM/ToolPage.aspx?tid=13722^","RocketDock")</f>
      </c>
      <c r="B1815" s="4" t="s">
        <v>2541</v>
      </c>
      <c r="C1815" s="9" t="s">
        <v>6</v>
      </c>
      <c r="D1815" s="12" t="s">
        <v>2542</v>
      </c>
    </row>
    <row r="1816">
      <c r="A1816" s="5">
        <f>HYPERLINK("https://www.oit.va.gov/Services/TRM/ToolPage.aspx?tid=8516^","RSLogix 500")</f>
      </c>
      <c r="B1816" s="4" t="s">
        <v>1784</v>
      </c>
      <c r="C1816" s="9" t="s">
        <v>6</v>
      </c>
      <c r="D1816" s="12" t="s">
        <v>2543</v>
      </c>
    </row>
    <row r="1817">
      <c r="A1817" s="5">
        <f>HYPERLINK("https://www.oit.va.gov/Services/TRM/ToolPage.aspx?tid=8349^","ScreenCast-O-Matic software")</f>
      </c>
      <c r="B1817" s="4" t="s">
        <v>2544</v>
      </c>
      <c r="C1817" s="9" t="s">
        <v>6</v>
      </c>
      <c r="D1817" s="12" t="s">
        <v>2545</v>
      </c>
    </row>
    <row r="1818">
      <c r="A1818" s="5">
        <f>HYPERLINK("https://www.oit.va.gov/Services/TRM/ToolPage.aspx?tid=8502^","SharpCloud Server/Services")</f>
      </c>
      <c r="B1818" s="4" t="s">
        <v>2546</v>
      </c>
      <c r="C1818" s="9" t="s">
        <v>6</v>
      </c>
      <c r="D1818" s="12" t="s">
        <v>2547</v>
      </c>
    </row>
    <row r="1819">
      <c r="A1819" s="5">
        <f>HYPERLINK("https://www.oit.va.gov/Services/TRM/ToolPage.aspx?tid=15751^","SingleStore Database (DB)")</f>
      </c>
      <c r="B1819" s="4" t="s">
        <v>2548</v>
      </c>
      <c r="C1819" s="9" t="s">
        <v>6</v>
      </c>
      <c r="D1819" s="12" t="s">
        <v>2549</v>
      </c>
    </row>
    <row r="1820">
      <c r="A1820" s="5">
        <f>HYPERLINK("https://www.oit.va.gov/Services/TRM/ToolPage.aspx?tid=10572^","SoftPaq Download Manager")</f>
      </c>
      <c r="B1820" s="4" t="s">
        <v>2550</v>
      </c>
      <c r="C1820" s="9" t="s">
        <v>6</v>
      </c>
      <c r="D1820" s="12" t="s">
        <v>2551</v>
      </c>
    </row>
    <row r="1821">
      <c r="A1821" s="5">
        <f>HYPERLINK("https://www.oit.va.gov/Services/TRM/ToolPage.aspx?tid=7345^","Speckie")</f>
      </c>
      <c r="B1821" s="4" t="s">
        <v>2552</v>
      </c>
      <c r="C1821" s="9" t="s">
        <v>6</v>
      </c>
      <c r="D1821" s="12" t="s">
        <v>227</v>
      </c>
    </row>
    <row r="1822">
      <c r="A1822" s="5">
        <f>HYPERLINK("https://www.oit.va.gov/Services/TRM/ToolPage.aspx?tid=15837^","SprinkCAD Revit")</f>
      </c>
      <c r="B1822" s="4" t="s">
        <v>2553</v>
      </c>
      <c r="C1822" s="9" t="s">
        <v>6</v>
      </c>
      <c r="D1822" s="12" t="s">
        <v>2554</v>
      </c>
    </row>
    <row r="1823">
      <c r="A1823" s="5">
        <f>HYPERLINK("https://www.oit.va.gov/Services/TRM/ToolPage.aspx?tid=5732^","SQL Anywhere")</f>
      </c>
      <c r="B1823" s="4" t="s">
        <v>205</v>
      </c>
      <c r="C1823" s="9" t="s">
        <v>6</v>
      </c>
      <c r="D1823" s="12" t="s">
        <v>2555</v>
      </c>
    </row>
    <row r="1824">
      <c r="A1824" s="5">
        <f>HYPERLINK("https://www.oit.va.gov/Services/TRM/ToolPage.aspx?tid=10257^","Statistical Analysis System (SAS) Enterprise Guide")</f>
      </c>
      <c r="B1824" s="4" t="s">
        <v>183</v>
      </c>
      <c r="C1824" s="9" t="s">
        <v>6</v>
      </c>
      <c r="D1824" s="12" t="s">
        <v>292</v>
      </c>
    </row>
    <row r="1825">
      <c r="A1825" s="5">
        <f>HYPERLINK("https://www.oit.va.gov/Services/TRM/ToolPage.aspx?tid=15624^","Steam Gaming Platform")</f>
      </c>
      <c r="B1825" s="4" t="s">
        <v>2556</v>
      </c>
      <c r="C1825" s="9" t="s">
        <v>6</v>
      </c>
      <c r="D1825" s="12" t="s">
        <v>2557</v>
      </c>
    </row>
    <row r="1826">
      <c r="A1826" s="5">
        <f>HYPERLINK("https://www.oit.va.gov/Services/TRM/ToolPage.aspx?tid=7617^","Stereo3D Toolbox")</f>
      </c>
      <c r="B1826" s="4" t="s">
        <v>2558</v>
      </c>
      <c r="C1826" s="9" t="s">
        <v>6</v>
      </c>
      <c r="D1826" s="12" t="s">
        <v>2559</v>
      </c>
    </row>
    <row r="1827">
      <c r="A1827" s="5">
        <f>HYPERLINK("https://www.oit.va.gov/Services/TRM/ToolPage.aspx?tid=13919^","StyleCop.Analyzers")</f>
      </c>
      <c r="B1827" s="4" t="s">
        <v>2560</v>
      </c>
      <c r="C1827" s="9" t="s">
        <v>6</v>
      </c>
      <c r="D1827" s="12" t="s">
        <v>558</v>
      </c>
    </row>
    <row r="1828">
      <c r="A1828" s="5">
        <f>HYPERLINK("https://www.oit.va.gov/Services/TRM/StandardPage.aspx?tid=5434^","Teredo")</f>
      </c>
      <c r="B1828" s="4" t="s">
        <v>2561</v>
      </c>
      <c r="C1828" s="9" t="s">
        <v>6</v>
      </c>
      <c r="D1828" s="12" t="s">
        <v>2562</v>
      </c>
    </row>
    <row r="1829">
      <c r="A1829" s="5">
        <f>HYPERLINK("https://www.oit.va.gov/Services/TRM/ToolPage.aspx?tid=11298^","Tzunami Deployer")</f>
      </c>
      <c r="B1829" s="4" t="s">
        <v>2563</v>
      </c>
      <c r="C1829" s="9" t="s">
        <v>6</v>
      </c>
      <c r="D1829" s="12" t="s">
        <v>2564</v>
      </c>
    </row>
    <row r="1830">
      <c r="A1830" s="5">
        <f>HYPERLINK("https://www.oit.va.gov/Services/TRM/ToolPage.aspx?tid=7940^","UCINET")</f>
      </c>
      <c r="B1830" s="4" t="s">
        <v>1952</v>
      </c>
      <c r="C1830" s="9" t="s">
        <v>6</v>
      </c>
      <c r="D1830" s="12" t="s">
        <v>2565</v>
      </c>
    </row>
    <row r="1831">
      <c r="A1831" s="5">
        <f>HYPERLINK("https://www.oit.va.gov/Services/TRM/ToolPage.aspx?tid=6164^","UltraCompare")</f>
      </c>
      <c r="B1831" s="4" t="s">
        <v>712</v>
      </c>
      <c r="C1831" s="9" t="s">
        <v>6</v>
      </c>
      <c r="D1831" s="12" t="s">
        <v>2566</v>
      </c>
    </row>
    <row r="1832">
      <c r="A1832" s="5">
        <f>HYPERLINK("https://www.oit.va.gov/Services/TRM/ToolPage.aspx?tid=12891^","Ultranalysis Suite (UAS)")</f>
      </c>
      <c r="B1832" s="4" t="s">
        <v>2567</v>
      </c>
      <c r="C1832" s="9" t="s">
        <v>6</v>
      </c>
      <c r="D1832" s="12" t="s">
        <v>2531</v>
      </c>
    </row>
    <row r="1833">
      <c r="A1833" s="5">
        <f>HYPERLINK("https://www.oit.va.gov/Services/TRM/ToolPage.aspx?tid=10975^","Unified Attendant Console")</f>
      </c>
      <c r="B1833" s="4" t="s">
        <v>353</v>
      </c>
      <c r="C1833" s="9" t="s">
        <v>6</v>
      </c>
      <c r="D1833" s="12" t="s">
        <v>2568</v>
      </c>
    </row>
    <row r="1834">
      <c r="A1834" s="5">
        <f>HYPERLINK("https://www.oit.va.gov/Services/TRM/ToolPage.aspx?tid=13931^","User State Migration Tool GUI")</f>
      </c>
      <c r="B1834" s="4" t="s">
        <v>2569</v>
      </c>
      <c r="C1834" s="9" t="s">
        <v>6</v>
      </c>
      <c r="D1834" s="12" t="s">
        <v>2570</v>
      </c>
    </row>
    <row r="1835">
      <c r="A1835" s="5">
        <f>HYPERLINK("https://www.oit.va.gov/Services/TRM/ToolPage.aspx?tid=7688^","Vector NTI Express")</f>
      </c>
      <c r="B1835" s="4" t="s">
        <v>716</v>
      </c>
      <c r="C1835" s="9" t="s">
        <v>6</v>
      </c>
      <c r="D1835" s="12" t="s">
        <v>2571</v>
      </c>
    </row>
    <row r="1836">
      <c r="A1836" s="5">
        <f>HYPERLINK("https://www.oit.va.gov/Services/TRM/ToolPage.aspx?tid=9702^","Video Downloader")</f>
      </c>
      <c r="B1836" s="4" t="s">
        <v>2572</v>
      </c>
      <c r="C1836" s="9" t="s">
        <v>6</v>
      </c>
      <c r="D1836" s="12" t="s">
        <v>2573</v>
      </c>
    </row>
    <row r="1837">
      <c r="A1837" s="5">
        <f>HYPERLINK("https://www.oit.va.gov/Services/TRM/ToolPage.aspx?tid=16700^","Voiceitt software")</f>
      </c>
      <c r="B1837" s="4" t="s">
        <v>2574</v>
      </c>
      <c r="C1837" s="9" t="s">
        <v>6</v>
      </c>
      <c r="D1837" s="12" t="s">
        <v>2575</v>
      </c>
    </row>
    <row r="1838">
      <c r="A1838" s="5">
        <f>HYPERLINK("https://www.oit.va.gov/Services/TRM/ToolPage.aspx?tid=14484^","WIDCOMM Bluetooth")</f>
      </c>
      <c r="B1838" s="4" t="s">
        <v>347</v>
      </c>
      <c r="C1838" s="9" t="s">
        <v>6</v>
      </c>
      <c r="D1838" s="12" t="s">
        <v>2576</v>
      </c>
    </row>
    <row r="1839">
      <c r="A1839" s="5">
        <f>HYPERLINK("https://www.oit.va.gov/Services/TRM/ToolPage.aspx?tid=7933^","WordPerfect")</f>
      </c>
      <c r="B1839" s="4" t="s">
        <v>2360</v>
      </c>
      <c r="C1839" s="9" t="s">
        <v>6</v>
      </c>
      <c r="D1839" s="12" t="s">
        <v>2577</v>
      </c>
    </row>
    <row r="1840">
      <c r="A1840" s="5">
        <f>HYPERLINK("https://www.oit.va.gov/Services/TRM/ToolPage.aspx?tid=7523^","X1 Search")</f>
      </c>
      <c r="B1840" s="4" t="s">
        <v>2578</v>
      </c>
      <c r="C1840" s="9" t="s">
        <v>6</v>
      </c>
      <c r="D1840" s="12" t="s">
        <v>1649</v>
      </c>
    </row>
    <row r="1841">
      <c r="A1841" s="5">
        <f>HYPERLINK("https://www.oit.va.gov/Services/TRM/ToolPage.aspx?tid=14624^","Xyplorer")</f>
      </c>
      <c r="B1841" s="4" t="s">
        <v>2579</v>
      </c>
      <c r="C1841" s="9" t="s">
        <v>6</v>
      </c>
      <c r="D1841" s="12" t="s">
        <v>2580</v>
      </c>
    </row>
    <row r="1842">
      <c r="A1842" s="5">
        <f>HYPERLINK("https://www.oit.va.gov/Services/TRM/ToolPage.aspx?tid=15331^","ZOLL Defibrillator Dashboard")</f>
      </c>
      <c r="B1842" s="4" t="s">
        <v>1434</v>
      </c>
      <c r="C1842" s="9" t="s">
        <v>6</v>
      </c>
      <c r="D1842" s="12" t="s">
        <v>980</v>
      </c>
    </row>
    <row r="1843">
      <c r="A1843" s="5">
        <f>HYPERLINK("https://www.oit.va.gov/Services/TRM/ToolPage.aspx?tid=14204^","22Miles")</f>
      </c>
      <c r="B1843" s="4" t="s">
        <v>2581</v>
      </c>
      <c r="C1843" s="9" t="s">
        <v>6</v>
      </c>
      <c r="D1843" s="12" t="s">
        <v>2582</v>
      </c>
    </row>
    <row r="1844">
      <c r="A1844" s="5">
        <f>HYPERLINK("https://www.oit.va.gov/Services/TRM/ToolPage.aspx?tid=15168^","3D Sprint")</f>
      </c>
      <c r="B1844" s="4" t="s">
        <v>2583</v>
      </c>
      <c r="C1844" s="9" t="s">
        <v>6</v>
      </c>
      <c r="D1844" s="12" t="s">
        <v>2584</v>
      </c>
    </row>
    <row r="1845">
      <c r="A1845" s="5">
        <f>HYPERLINK("https://www.oit.va.gov/Services/TRM/ToolPage.aspx?tid=13736^","3M Core Grouping Software (CGS)")</f>
      </c>
      <c r="B1845" s="4" t="s">
        <v>2585</v>
      </c>
      <c r="C1845" s="9" t="s">
        <v>6</v>
      </c>
      <c r="D1845" s="12" t="s">
        <v>2586</v>
      </c>
    </row>
    <row r="1846">
      <c r="A1846" s="5">
        <f>HYPERLINK("https://www.oit.va.gov/Services/TRM/ToolPage.aspx?tid=16125^","4Racer TBA Swift [SERVER]")</f>
      </c>
      <c r="B1846" s="4" t="s">
        <v>2587</v>
      </c>
      <c r="C1846" s="9" t="s">
        <v>6</v>
      </c>
      <c r="D1846" s="12" t="s">
        <v>2588</v>
      </c>
    </row>
    <row r="1847">
      <c r="A1847" s="5">
        <f>HYPERLINK("https://www.oit.va.gov/Services/TRM/ToolPage.aspx?tid=13684^","7500 Real-time Polymerase Chain Reaction (PCR) Software")</f>
      </c>
      <c r="B1847" s="4" t="s">
        <v>716</v>
      </c>
      <c r="C1847" s="9" t="s">
        <v>6</v>
      </c>
      <c r="D1847" s="12" t="s">
        <v>826</v>
      </c>
    </row>
    <row r="1848">
      <c r="A1848" s="5">
        <f>HYPERLINK("https://www.oit.va.gov/Services/TRM/ToolPage.aspx?tid=5527^","7-Zip")</f>
      </c>
      <c r="B1848" s="4" t="s">
        <v>2589</v>
      </c>
      <c r="C1848" s="9" t="s">
        <v>6</v>
      </c>
      <c r="D1848" s="12" t="s">
        <v>727</v>
      </c>
    </row>
    <row r="1849">
      <c r="A1849" s="5">
        <f>HYPERLINK("https://www.oit.va.gov/Services/TRM/ToolPage.aspx?tid=5528^","ABBYY FineReader")</f>
      </c>
      <c r="B1849" s="4" t="s">
        <v>2590</v>
      </c>
      <c r="C1849" s="9" t="s">
        <v>6</v>
      </c>
      <c r="D1849" s="12" t="s">
        <v>2591</v>
      </c>
    </row>
    <row r="1850">
      <c r="A1850" s="5">
        <f>HYPERLINK("https://www.oit.va.gov/Services/TRM/ToolPage.aspx?tid=16790^","ABBYY FineReader Engine")</f>
      </c>
      <c r="B1850" s="4" t="s">
        <v>2590</v>
      </c>
      <c r="C1850" s="9" t="s">
        <v>6</v>
      </c>
      <c r="D1850" s="12" t="s">
        <v>2592</v>
      </c>
    </row>
    <row r="1851">
      <c r="A1851" s="5">
        <f>HYPERLINK("https://www.oit.va.gov/Services/TRM/ToolPage.aspx?tid=10958^","Abbyy Flexicapture")</f>
      </c>
      <c r="B1851" s="4" t="s">
        <v>2590</v>
      </c>
      <c r="C1851" s="9" t="s">
        <v>6</v>
      </c>
      <c r="D1851" s="12" t="s">
        <v>2593</v>
      </c>
    </row>
    <row r="1852">
      <c r="A1852" s="5">
        <f>HYPERLINK("https://www.oit.va.gov/Services/TRM/ToolPage.aspx?tid=16550^","ABG Systems (ABGSYS) One")</f>
      </c>
      <c r="B1852" s="4" t="s">
        <v>2594</v>
      </c>
      <c r="C1852" s="9" t="s">
        <v>6</v>
      </c>
      <c r="D1852" s="12" t="s">
        <v>2595</v>
      </c>
    </row>
    <row r="1853">
      <c r="A1853" s="5">
        <f>HYPERLINK("https://www.oit.va.gov/Services/TRM/ToolPage.aspx?tid=5921^","Absolute Platform")</f>
      </c>
      <c r="B1853" s="4" t="s">
        <v>2596</v>
      </c>
      <c r="C1853" s="9" t="s">
        <v>6</v>
      </c>
      <c r="D1853" s="12" t="s">
        <v>2597</v>
      </c>
    </row>
    <row r="1854">
      <c r="A1854" s="5">
        <f>HYPERLINK("https://www.oit.va.gov/Services/TRM/ToolPage.aspx?tid=8454^","Access 3000 Message Server")</f>
      </c>
      <c r="B1854" s="4" t="s">
        <v>2598</v>
      </c>
      <c r="C1854" s="9" t="s">
        <v>6</v>
      </c>
      <c r="D1854" s="12" t="s">
        <v>2599</v>
      </c>
    </row>
    <row r="1855">
      <c r="A1855" s="5">
        <f>HYPERLINK("https://www.oit.va.gov/Services/TRM/ToolPage.aspx?tid=15886^","Access Bot")</f>
      </c>
      <c r="B1855" s="4" t="s">
        <v>2600</v>
      </c>
      <c r="C1855" s="9" t="s">
        <v>6</v>
      </c>
      <c r="D1855" s="12" t="s">
        <v>2601</v>
      </c>
    </row>
    <row r="1856">
      <c r="A1856" s="5">
        <f>HYPERLINK("https://www.oit.va.gov/Services/TRM/ToolPage.aspx?tid=14967^","Access Control Manager (ACM)")</f>
      </c>
      <c r="B1856" s="4" t="s">
        <v>2602</v>
      </c>
      <c r="C1856" s="9" t="s">
        <v>6</v>
      </c>
      <c r="D1856" s="12" t="s">
        <v>2603</v>
      </c>
    </row>
    <row r="1857">
      <c r="A1857" s="5">
        <f>HYPERLINK("https://www.oit.va.gov/Services/TRM/ToolPage.aspx?tid=9976^","Access IT! Universal.NET")</f>
      </c>
      <c r="B1857" s="4" t="s">
        <v>2604</v>
      </c>
      <c r="C1857" s="9" t="s">
        <v>6</v>
      </c>
      <c r="D1857" s="12" t="s">
        <v>2605</v>
      </c>
    </row>
    <row r="1858">
      <c r="A1858" s="5">
        <f>HYPERLINK("https://www.oit.va.gov/Services/TRM/ToolPage.aspx?tid=14598^","Access Rights Manager (ARM)")</f>
      </c>
      <c r="B1858" s="4" t="s">
        <v>431</v>
      </c>
      <c r="C1858" s="9" t="s">
        <v>6</v>
      </c>
      <c r="D1858" s="12" t="s">
        <v>2606</v>
      </c>
    </row>
    <row r="1859">
      <c r="A1859" s="5">
        <f>HYPERLINK("https://www.oit.va.gov/Services/TRM/ToolPage.aspx?tid=16383^","Accessibility Checker Extension")</f>
      </c>
      <c r="B1859" s="4" t="s">
        <v>2607</v>
      </c>
      <c r="C1859" s="9" t="s">
        <v>6</v>
      </c>
      <c r="D1859" s="12" t="s">
        <v>2608</v>
      </c>
    </row>
    <row r="1860">
      <c r="A1860" s="5">
        <f>HYPERLINK("https://www.oit.va.gov/Services/TRM/ToolPage.aspx?tid=6941^","Accessibility Management Platform (AMP)")</f>
      </c>
      <c r="B1860" s="4" t="s">
        <v>2609</v>
      </c>
      <c r="C1860" s="9" t="s">
        <v>6</v>
      </c>
      <c r="D1860" s="12" t="s">
        <v>2610</v>
      </c>
    </row>
    <row r="1861">
      <c r="A1861" s="5">
        <f>HYPERLINK("https://www.oit.va.gov/Services/TRM/ToolPage.aspx?tid=6415^","AccuView Reflux Software")</f>
      </c>
      <c r="B1861" s="4" t="s">
        <v>1089</v>
      </c>
      <c r="C1861" s="9" t="s">
        <v>6</v>
      </c>
      <c r="D1861" s="12" t="s">
        <v>2611</v>
      </c>
    </row>
    <row r="1862">
      <c r="A1862" s="5">
        <f>HYPERLINK("https://www.oit.va.gov/Services/TRM/ToolPage.aspx?tid=16757^","aCOLyte 3")</f>
      </c>
      <c r="B1862" s="4" t="s">
        <v>2612</v>
      </c>
      <c r="C1862" s="9" t="s">
        <v>6</v>
      </c>
      <c r="D1862" s="12" t="s">
        <v>1053</v>
      </c>
    </row>
    <row r="1863">
      <c r="A1863" s="5">
        <f>HYPERLINK("https://www.oit.va.gov/Services/TRM/ToolPage.aspx?tid=7663^","Acqueon iAssist for Cisco Unified Customer Voice Portal (CVP)")</f>
      </c>
      <c r="B1863" s="4" t="s">
        <v>2613</v>
      </c>
      <c r="C1863" s="9" t="s">
        <v>6</v>
      </c>
      <c r="D1863" s="12" t="s">
        <v>2614</v>
      </c>
    </row>
    <row r="1864">
      <c r="A1864" s="5">
        <f>HYPERLINK("https://www.oit.va.gov/Services/TRM/ToolPage.aspx?tid=7661^","Acqueon List and Campaign Manager (LCM)")</f>
      </c>
      <c r="B1864" s="4" t="s">
        <v>2613</v>
      </c>
      <c r="C1864" s="9" t="s">
        <v>6</v>
      </c>
      <c r="D1864" s="12" t="s">
        <v>2478</v>
      </c>
    </row>
    <row r="1865">
      <c r="A1865" s="5">
        <f>HYPERLINK("https://www.oit.va.gov/Services/TRM/ToolPage.aspx?tid=6661^","Acronis Cyber Backup")</f>
      </c>
      <c r="B1865" s="4" t="s">
        <v>2615</v>
      </c>
      <c r="C1865" s="9" t="s">
        <v>6</v>
      </c>
      <c r="D1865" s="12" t="s">
        <v>790</v>
      </c>
    </row>
    <row r="1866">
      <c r="A1866" s="5">
        <f>HYPERLINK("https://www.oit.va.gov/Services/TRM/ToolPage.aspx?tid=13191^","Acronis Cyber Protect Home Office")</f>
      </c>
      <c r="B1866" s="4" t="s">
        <v>2615</v>
      </c>
      <c r="C1866" s="9" t="s">
        <v>6</v>
      </c>
      <c r="D1866" s="12" t="s">
        <v>809</v>
      </c>
    </row>
    <row r="1867">
      <c r="A1867" s="5">
        <f>HYPERLINK("https://www.oit.va.gov/Services/TRM/ToolPage.aspx?tid=14814^","Acropolis Hypervisor (AHV)")</f>
      </c>
      <c r="B1867" s="4" t="s">
        <v>2616</v>
      </c>
      <c r="C1867" s="9" t="s">
        <v>6</v>
      </c>
      <c r="D1867" s="12" t="s">
        <v>2617</v>
      </c>
    </row>
    <row r="1868">
      <c r="A1868" s="5">
        <f>HYPERLINK("https://www.oit.va.gov/Services/TRM/ToolPage.aspx?tid=6574^","Active Cheque Processing")</f>
      </c>
      <c r="B1868" s="4" t="s">
        <v>2618</v>
      </c>
      <c r="C1868" s="9" t="s">
        <v>6</v>
      </c>
      <c r="D1868" s="12" t="s">
        <v>766</v>
      </c>
    </row>
    <row r="1869">
      <c r="A1869" s="5">
        <f>HYPERLINK("https://www.oit.va.gov/Services/TRM/ToolPage.aspx?tid=14885^","Active IQ Config Advisor")</f>
      </c>
      <c r="B1869" s="4" t="s">
        <v>472</v>
      </c>
      <c r="C1869" s="9" t="s">
        <v>6</v>
      </c>
      <c r="D1869" s="12" t="s">
        <v>2619</v>
      </c>
    </row>
    <row r="1870">
      <c r="A1870" s="5">
        <f>HYPERLINK("https://www.oit.va.gov/Services/TRM/ToolPage.aspx?tid=13477^","ActivePDF Server")</f>
      </c>
      <c r="B1870" s="4" t="s">
        <v>2620</v>
      </c>
      <c r="C1870" s="9" t="s">
        <v>6</v>
      </c>
      <c r="D1870" s="12" t="s">
        <v>2621</v>
      </c>
    </row>
    <row r="1871">
      <c r="A1871" s="5">
        <f>HYPERLINK("https://www.oit.va.gov/Services/TRM/ToolPage.aspx?tid=16555^","ActiveReports")</f>
      </c>
      <c r="B1871" s="4" t="s">
        <v>2622</v>
      </c>
      <c r="C1871" s="9" t="s">
        <v>6</v>
      </c>
      <c r="D1871" s="12" t="s">
        <v>2623</v>
      </c>
    </row>
    <row r="1872">
      <c r="A1872" s="5">
        <f>HYPERLINK("https://www.oit.va.gov/Services/TRM/ToolPage.aspx?tid=13642^","Adaptive Security Device Manager (ASDM)")</f>
      </c>
      <c r="B1872" s="4" t="s">
        <v>353</v>
      </c>
      <c r="C1872" s="9" t="s">
        <v>6</v>
      </c>
      <c r="D1872" s="12" t="s">
        <v>2624</v>
      </c>
    </row>
    <row r="1873">
      <c r="A1873" s="5">
        <f>HYPERLINK("https://www.oit.va.gov/Services/TRM/ToolPage.aspx?tid=7421^","ADManager Plus")</f>
      </c>
      <c r="B1873" s="4" t="s">
        <v>2625</v>
      </c>
      <c r="C1873" s="9" t="s">
        <v>6</v>
      </c>
      <c r="D1873" s="12" t="s">
        <v>2626</v>
      </c>
    </row>
    <row r="1874">
      <c r="A1874" s="5">
        <f>HYPERLINK("https://www.oit.va.gov/Services/TRM/ToolPage.aspx?tid=14988^","AdminLTE")</f>
      </c>
      <c r="B1874" s="4" t="s">
        <v>2627</v>
      </c>
      <c r="C1874" s="9" t="s">
        <v>6</v>
      </c>
      <c r="D1874" s="12" t="s">
        <v>2628</v>
      </c>
    </row>
    <row r="1875">
      <c r="A1875" s="5">
        <f>HYPERLINK("https://www.oit.va.gov/Services/TRM/ToolPage.aspx?tid=16356^","Adobe Acrobat Sign")</f>
      </c>
      <c r="B1875" s="4" t="s">
        <v>110</v>
      </c>
      <c r="C1875" s="9" t="s">
        <v>6</v>
      </c>
      <c r="D1875" s="12" t="s">
        <v>2629</v>
      </c>
    </row>
    <row r="1876">
      <c r="A1876" s="5">
        <f>HYPERLINK("https://www.oit.va.gov/Services/TRM/ToolPage.aspx?tid=5500^","Adobe Bridge")</f>
      </c>
      <c r="B1876" s="4" t="s">
        <v>110</v>
      </c>
      <c r="C1876" s="9" t="s">
        <v>6</v>
      </c>
      <c r="D1876" s="12" t="s">
        <v>889</v>
      </c>
    </row>
    <row r="1877">
      <c r="A1877" s="5">
        <f>HYPERLINK("https://www.oit.va.gov/Services/TRM/ToolPage.aspx?tid=5535^","Adobe Captivate")</f>
      </c>
      <c r="B1877" s="4" t="s">
        <v>110</v>
      </c>
      <c r="C1877" s="9" t="s">
        <v>6</v>
      </c>
      <c r="D1877" s="12" t="s">
        <v>2591</v>
      </c>
    </row>
    <row r="1878">
      <c r="A1878" s="5">
        <f>HYPERLINK("https://www.oit.va.gov/Services/TRM/ToolPage.aspx?tid=5507^","Adobe ColdFusion")</f>
      </c>
      <c r="B1878" s="4" t="s">
        <v>110</v>
      </c>
      <c r="C1878" s="9" t="s">
        <v>6</v>
      </c>
      <c r="D1878" s="12" t="s">
        <v>2630</v>
      </c>
    </row>
    <row r="1879">
      <c r="A1879" s="5">
        <f>HYPERLINK("https://www.oit.va.gov/Services/TRM/ToolPage.aspx?tid=5536^","Adobe Connect")</f>
      </c>
      <c r="B1879" s="4" t="s">
        <v>110</v>
      </c>
      <c r="C1879" s="9" t="s">
        <v>6</v>
      </c>
      <c r="D1879" s="12" t="s">
        <v>246</v>
      </c>
    </row>
    <row r="1880">
      <c r="A1880" s="5">
        <f>HYPERLINK("https://www.oit.va.gov/Services/TRM/ToolPage.aspx?tid=13311^","Adobe Dimension Creative Cloud (CC)")</f>
      </c>
      <c r="B1880" s="4" t="s">
        <v>110</v>
      </c>
      <c r="C1880" s="9" t="s">
        <v>6</v>
      </c>
      <c r="D1880" s="12" t="s">
        <v>2631</v>
      </c>
    </row>
    <row r="1881">
      <c r="A1881" s="5">
        <f>HYPERLINK("https://www.oit.va.gov/Services/TRM/ToolPage.aspx?tid=13142^","Adobe Experience Manager Forms Designer")</f>
      </c>
      <c r="B1881" s="4" t="s">
        <v>110</v>
      </c>
      <c r="C1881" s="9" t="s">
        <v>6</v>
      </c>
      <c r="D1881" s="12" t="s">
        <v>2632</v>
      </c>
    </row>
    <row r="1882">
      <c r="A1882" s="5">
        <f>HYPERLINK("https://www.oit.va.gov/Services/TRM/ToolPage.aspx?tid=9216^","Adobe FrameMaker")</f>
      </c>
      <c r="B1882" s="4" t="s">
        <v>110</v>
      </c>
      <c r="C1882" s="9" t="s">
        <v>6</v>
      </c>
      <c r="D1882" s="12" t="s">
        <v>2633</v>
      </c>
    </row>
    <row r="1883">
      <c r="A1883" s="5">
        <f>HYPERLINK("https://www.oit.va.gov/Services/TRM/ToolPage.aspx?tid=5503^","Adobe Illustrator Creative Cloud (CC)")</f>
      </c>
      <c r="B1883" s="4" t="s">
        <v>110</v>
      </c>
      <c r="C1883" s="9" t="s">
        <v>6</v>
      </c>
      <c r="D1883" s="12" t="s">
        <v>2634</v>
      </c>
    </row>
    <row r="1884">
      <c r="A1884" s="5">
        <f>HYPERLINK("https://www.oit.va.gov/Services/TRM/ToolPage.aspx?tid=8740^","Adobe InCopy")</f>
      </c>
      <c r="B1884" s="4" t="s">
        <v>110</v>
      </c>
      <c r="C1884" s="9" t="s">
        <v>6</v>
      </c>
      <c r="D1884" s="12" t="s">
        <v>2635</v>
      </c>
    </row>
    <row r="1885">
      <c r="A1885" s="5">
        <f>HYPERLINK("https://www.oit.va.gov/Services/TRM/ToolPage.aspx?tid=15254^","Adobe Learning Manager")</f>
      </c>
      <c r="B1885" s="4" t="s">
        <v>110</v>
      </c>
      <c r="C1885" s="9" t="s">
        <v>6</v>
      </c>
      <c r="D1885" s="12" t="s">
        <v>2636</v>
      </c>
    </row>
    <row r="1886">
      <c r="A1886" s="5">
        <f>HYPERLINK("https://www.oit.va.gov/Services/TRM/ToolPage.aspx?tid=5505^","Adobe Photoshop Creative Cloud (CC)")</f>
      </c>
      <c r="B1886" s="4" t="s">
        <v>110</v>
      </c>
      <c r="C1886" s="9" t="s">
        <v>6</v>
      </c>
      <c r="D1886" s="12" t="s">
        <v>132</v>
      </c>
    </row>
    <row r="1887">
      <c r="A1887" s="5">
        <f>HYPERLINK("https://www.oit.va.gov/Services/TRM/ToolPage.aspx?tid=16776^","Advanced Visualization Workspace")</f>
      </c>
      <c r="B1887" s="4" t="s">
        <v>919</v>
      </c>
      <c r="C1887" s="9" t="s">
        <v>6</v>
      </c>
      <c r="D1887" s="12" t="s">
        <v>2022</v>
      </c>
    </row>
    <row r="1888">
      <c r="A1888" s="5">
        <f>HYPERLINK("https://www.oit.va.gov/Services/TRM/ToolPage.aspx?tid=15977^","AGFA iPlan")</f>
      </c>
      <c r="B1888" s="4" t="s">
        <v>706</v>
      </c>
      <c r="C1888" s="9" t="s">
        <v>6</v>
      </c>
      <c r="D1888" s="12" t="s">
        <v>755</v>
      </c>
    </row>
    <row r="1889">
      <c r="A1889" s="5">
        <f>HYPERLINK("https://www.oit.va.gov/Services/TRM/ToolPage.aspx?tid=8094^","Agilquest Workplace Management Software")</f>
      </c>
      <c r="B1889" s="4" t="s">
        <v>2637</v>
      </c>
      <c r="C1889" s="9" t="s">
        <v>6</v>
      </c>
      <c r="D1889" s="12" t="s">
        <v>2638</v>
      </c>
    </row>
    <row r="1890">
      <c r="A1890" s="5">
        <f>HYPERLINK("https://www.oit.va.gov/Services/TRM/ToolPage.aspx?tid=9559^","AirMedia Client Application")</f>
      </c>
      <c r="B1890" s="4" t="s">
        <v>2639</v>
      </c>
      <c r="C1890" s="9" t="s">
        <v>6</v>
      </c>
      <c r="D1890" s="12" t="s">
        <v>545</v>
      </c>
    </row>
    <row r="1891">
      <c r="A1891" s="5">
        <f>HYPERLINK("https://www.oit.va.gov/Services/TRM/ToolPage.aspx?tid=7980^","AirWatch Secure Email Gateway (SEG)")</f>
      </c>
      <c r="B1891" s="4" t="s">
        <v>719</v>
      </c>
      <c r="C1891" s="9" t="s">
        <v>6</v>
      </c>
      <c r="D1891" s="12" t="s">
        <v>828</v>
      </c>
    </row>
    <row r="1892">
      <c r="A1892" s="5">
        <f>HYPERLINK("https://www.oit.va.gov/Services/TRM/ToolPage.aspx?tid=15868^","Aladdin")</f>
      </c>
      <c r="B1892" s="4" t="s">
        <v>2640</v>
      </c>
      <c r="C1892" s="9" t="s">
        <v>6</v>
      </c>
      <c r="D1892" s="12" t="s">
        <v>2641</v>
      </c>
    </row>
    <row r="1893">
      <c r="A1893" s="5">
        <f>HYPERLINK("https://www.oit.va.gov/Services/TRM/ToolPage.aspx?tid=16826^","AlinIQ Analyzer Management System (AMS)")</f>
      </c>
      <c r="B1893" s="4" t="s">
        <v>427</v>
      </c>
      <c r="C1893" s="9" t="s">
        <v>6</v>
      </c>
      <c r="D1893" s="12" t="s">
        <v>2642</v>
      </c>
    </row>
    <row r="1894">
      <c r="A1894" s="5">
        <f>HYPERLINK("https://www.oit.va.gov/Services/TRM/ToolPage.aspx?tid=15707^","AlloSeq Hematopoietic Cell Transplantation (HCT)")</f>
      </c>
      <c r="B1894" s="4" t="s">
        <v>1790</v>
      </c>
      <c r="C1894" s="9" t="s">
        <v>6</v>
      </c>
      <c r="D1894" s="12" t="s">
        <v>2643</v>
      </c>
    </row>
    <row r="1895">
      <c r="A1895" s="5">
        <f>HYPERLINK("https://www.oit.va.gov/Services/TRM/ToolPage.aspx?tid=8409^","Altair Monarch Server")</f>
      </c>
      <c r="B1895" s="4" t="s">
        <v>2644</v>
      </c>
      <c r="C1895" s="9" t="s">
        <v>6</v>
      </c>
      <c r="D1895" s="12" t="s">
        <v>500</v>
      </c>
    </row>
    <row r="1896">
      <c r="A1896" s="5">
        <f>HYPERLINK("https://www.oit.va.gov/Services/TRM/ToolPage.aspx?tid=15679^","Altamont Connectivity Platform")</f>
      </c>
      <c r="B1896" s="4" t="s">
        <v>2645</v>
      </c>
      <c r="C1896" s="9" t="s">
        <v>6</v>
      </c>
      <c r="D1896" s="12" t="s">
        <v>2646</v>
      </c>
    </row>
    <row r="1897">
      <c r="A1897" s="5">
        <f>HYPERLINK("https://www.oit.va.gov/Services/TRM/ToolPage.aspx?tid=5554^","Altium Designer")</f>
      </c>
      <c r="B1897" s="4" t="s">
        <v>2647</v>
      </c>
      <c r="C1897" s="9" t="s">
        <v>6</v>
      </c>
      <c r="D1897" s="12" t="s">
        <v>2648</v>
      </c>
    </row>
    <row r="1898">
      <c r="A1898" s="5">
        <f>HYPERLINK("https://www.oit.va.gov/Services/TRM/ToolPage.aspx?tid=13704^","Amazon Chime")</f>
      </c>
      <c r="B1898" s="4" t="s">
        <v>2238</v>
      </c>
      <c r="C1898" s="9" t="s">
        <v>6</v>
      </c>
      <c r="D1898" s="12" t="s">
        <v>2649</v>
      </c>
    </row>
    <row r="1899">
      <c r="A1899" s="5">
        <f>HYPERLINK("https://www.oit.va.gov/Services/TRM/ToolPage.aspx?tid=16317^","Amazon Cloudwatch")</f>
      </c>
      <c r="B1899" s="4" t="s">
        <v>2238</v>
      </c>
      <c r="C1899" s="9" t="s">
        <v>6</v>
      </c>
      <c r="D1899" s="12" t="s">
        <v>1755</v>
      </c>
    </row>
    <row r="1900">
      <c r="A1900" s="5">
        <f>HYPERLINK("https://www.oit.va.gov/Services/TRM/ToolPage.aspx?tid=14565^","Amazon Web Services (AWS) Software Development Kit (SDK) for JavaScript")</f>
      </c>
      <c r="B1900" s="4" t="s">
        <v>778</v>
      </c>
      <c r="C1900" s="9" t="s">
        <v>6</v>
      </c>
      <c r="D1900" s="12" t="s">
        <v>2650</v>
      </c>
    </row>
    <row r="1901">
      <c r="A1901" s="5">
        <f>HYPERLINK("https://www.oit.va.gov/Services/TRM/ToolPage.aspx?tid=16511^","Antibody Check")</f>
      </c>
      <c r="B1901" s="4" t="s">
        <v>2651</v>
      </c>
      <c r="C1901" s="9" t="s">
        <v>6</v>
      </c>
      <c r="D1901" s="12" t="s">
        <v>2652</v>
      </c>
    </row>
    <row r="1902">
      <c r="A1902" s="5">
        <f>HYPERLINK("https://www.oit.va.gov/Services/TRM/ToolPage.aspx?tid=7618^","ANTS Performance Profiler")</f>
      </c>
      <c r="B1902" s="4" t="s">
        <v>437</v>
      </c>
      <c r="C1902" s="9" t="s">
        <v>6</v>
      </c>
      <c r="D1902" s="12" t="s">
        <v>1597</v>
      </c>
    </row>
    <row r="1903">
      <c r="A1903" s="5">
        <f>HYPERLINK("https://www.oit.va.gov/Services/TRM/ToolPage.aspx?tid=16178^","Apache Airflow")</f>
      </c>
      <c r="B1903" s="4" t="s">
        <v>630</v>
      </c>
      <c r="C1903" s="9" t="s">
        <v>6</v>
      </c>
      <c r="D1903" s="12" t="s">
        <v>2653</v>
      </c>
    </row>
    <row r="1904">
      <c r="A1904" s="5">
        <f>HYPERLINK("https://www.oit.va.gov/Services/TRM/ToolPage.aspx?tid=6456^","Apache James (Java Apache Mail Enterprise Server)")</f>
      </c>
      <c r="B1904" s="4" t="s">
        <v>630</v>
      </c>
      <c r="C1904" s="9" t="s">
        <v>6</v>
      </c>
      <c r="D1904" s="12" t="s">
        <v>1597</v>
      </c>
    </row>
    <row r="1905">
      <c r="A1905" s="5">
        <f>HYPERLINK("https://www.oit.va.gov/Services/TRM/ToolPage.aspx?tid=15902^","Apache Kafka Cluster Visualization (AKHQ)")</f>
      </c>
      <c r="B1905" s="4" t="s">
        <v>630</v>
      </c>
      <c r="C1905" s="9" t="s">
        <v>6</v>
      </c>
      <c r="D1905" s="12" t="s">
        <v>1175</v>
      </c>
    </row>
    <row r="1906">
      <c r="A1906" s="5">
        <f>HYPERLINK("https://www.oit.va.gov/Services/TRM/ToolPage.aspx?tid=16667^","Apache Nifi")</f>
      </c>
      <c r="B1906" s="4" t="s">
        <v>630</v>
      </c>
      <c r="C1906" s="9" t="s">
        <v>6</v>
      </c>
      <c r="D1906" s="12" t="s">
        <v>2654</v>
      </c>
    </row>
    <row r="1907">
      <c r="A1907" s="5">
        <f>HYPERLINK("https://www.oit.va.gov/Services/TRM/ToolPage.aspx?tid=10273^","Apache Spark")</f>
      </c>
      <c r="B1907" s="4" t="s">
        <v>630</v>
      </c>
      <c r="C1907" s="9" t="s">
        <v>6</v>
      </c>
      <c r="D1907" s="12" t="s">
        <v>2655</v>
      </c>
    </row>
    <row r="1908">
      <c r="A1908" s="5">
        <f>HYPERLINK("https://www.oit.va.gov/Services/TRM/ToolPage.aspx?tid=10987^","AppCompatCacheParser")</f>
      </c>
      <c r="B1908" s="4" t="s">
        <v>2656</v>
      </c>
      <c r="C1908" s="9" t="s">
        <v>6</v>
      </c>
      <c r="D1908" s="12" t="s">
        <v>2657</v>
      </c>
    </row>
    <row r="1909">
      <c r="A1909" s="5">
        <f>HYPERLINK("https://www.oit.va.gov/Services/TRM/ToolPage.aspx?tid=6886^","AppDynamics")</f>
      </c>
      <c r="B1909" s="4" t="s">
        <v>2658</v>
      </c>
      <c r="C1909" s="9" t="s">
        <v>6</v>
      </c>
      <c r="D1909" s="12" t="s">
        <v>1015</v>
      </c>
    </row>
    <row r="1910">
      <c r="A1910" s="5">
        <f>HYPERLINK("https://www.oit.va.gov/Services/TRM/ToolPage.aspx?tid=7265^","Appian Business Process Management Suite (BPMS)")</f>
      </c>
      <c r="B1910" s="4" t="s">
        <v>2659</v>
      </c>
      <c r="C1910" s="9" t="s">
        <v>6</v>
      </c>
      <c r="D1910" s="12" t="s">
        <v>2660</v>
      </c>
    </row>
    <row r="1911">
      <c r="A1911" s="5">
        <f>HYPERLINK("https://www.oit.va.gov/Services/TRM/ToolPage.aspx?tid=6014^","Apple iTunes")</f>
      </c>
      <c r="B1911" s="4" t="s">
        <v>1782</v>
      </c>
      <c r="C1911" s="9" t="s">
        <v>6</v>
      </c>
      <c r="D1911" s="12" t="s">
        <v>2661</v>
      </c>
    </row>
    <row r="1912">
      <c r="A1912" s="5">
        <f>HYPERLINK("https://www.oit.va.gov/Services/TRM/ToolPage.aspx?tid=9437^","Application Lifecycle Management (ALM)")</f>
      </c>
      <c r="B1912" s="4" t="s">
        <v>1411</v>
      </c>
      <c r="C1912" s="9" t="s">
        <v>6</v>
      </c>
      <c r="D1912" s="12" t="s">
        <v>1291</v>
      </c>
    </row>
    <row r="1913">
      <c r="A1913" s="5">
        <f>HYPERLINK("https://www.oit.va.gov/Services/TRM/ToolPage.aspx?tid=8380^","AppSpace")</f>
      </c>
      <c r="B1913" s="4" t="s">
        <v>2662</v>
      </c>
      <c r="C1913" s="9" t="s">
        <v>6</v>
      </c>
      <c r="D1913" s="12" t="s">
        <v>2663</v>
      </c>
    </row>
    <row r="1914">
      <c r="A1914" s="5">
        <f>HYPERLINK("https://www.oit.va.gov/Services/TRM/ToolPage.aspx?tid=16000^","AppWave Enterprise License Center (ELC)")</f>
      </c>
      <c r="B1914" s="4" t="s">
        <v>1828</v>
      </c>
      <c r="C1914" s="9" t="s">
        <v>6</v>
      </c>
      <c r="D1914" s="12" t="s">
        <v>255</v>
      </c>
    </row>
    <row r="1915">
      <c r="A1915" s="5">
        <f>HYPERLINK("https://www.oit.va.gov/Services/TRM/ToolPage.aspx?tid=11289^","APX Customer Programming Software (CPS) Radio Management")</f>
      </c>
      <c r="B1915" s="4" t="s">
        <v>2664</v>
      </c>
      <c r="C1915" s="9" t="s">
        <v>6</v>
      </c>
      <c r="D1915" s="12" t="s">
        <v>2665</v>
      </c>
    </row>
    <row r="1916">
      <c r="A1916" s="5">
        <f>HYPERLINK("https://www.oit.va.gov/Services/TRM/ToolPage.aspx?tid=15766^","Arc Geographic Information System (ArcGIS) Indoors")</f>
      </c>
      <c r="B1916" s="4" t="s">
        <v>1640</v>
      </c>
      <c r="C1916" s="9" t="s">
        <v>6</v>
      </c>
      <c r="D1916" s="12" t="s">
        <v>2666</v>
      </c>
    </row>
    <row r="1917">
      <c r="A1917" s="5">
        <f>HYPERLINK("https://www.oit.va.gov/Services/TRM/ToolPage.aspx?tid=9771^","Arc Geographic Information System (ArcGIS) Production Mapping")</f>
      </c>
      <c r="B1917" s="4" t="s">
        <v>1640</v>
      </c>
      <c r="C1917" s="9" t="s">
        <v>6</v>
      </c>
      <c r="D1917" s="12" t="s">
        <v>443</v>
      </c>
    </row>
    <row r="1918">
      <c r="A1918" s="5">
        <f>HYPERLINK("https://www.oit.va.gov/Services/TRM/ToolPage.aspx?tid=15214^","Arc Geographic Information System (ArcGIS) Survey 123 Connect")</f>
      </c>
      <c r="B1918" s="4" t="s">
        <v>1640</v>
      </c>
      <c r="C1918" s="9" t="s">
        <v>6</v>
      </c>
      <c r="D1918" s="12" t="s">
        <v>2667</v>
      </c>
    </row>
    <row r="1919">
      <c r="A1919" s="5">
        <f>HYPERLINK("https://www.oit.va.gov/Services/TRM/ToolPage.aspx?tid=15803^","Arc Geographical Information System (ArcGIS) Monitor")</f>
      </c>
      <c r="B1919" s="4" t="s">
        <v>1640</v>
      </c>
      <c r="C1919" s="9" t="s">
        <v>6</v>
      </c>
      <c r="D1919" s="12" t="s">
        <v>2668</v>
      </c>
    </row>
    <row r="1920">
      <c r="A1920" s="5">
        <f>HYPERLINK("https://www.oit.va.gov/Services/TRM/ToolPage.aspx?tid=16636^","ArcGIS Maps for Adobe Creative Cloud")</f>
      </c>
      <c r="B1920" s="4" t="s">
        <v>1640</v>
      </c>
      <c r="C1920" s="9" t="s">
        <v>6</v>
      </c>
      <c r="D1920" s="12" t="s">
        <v>2669</v>
      </c>
    </row>
    <row r="1921">
      <c r="A1921" s="5">
        <f>HYPERLINK("https://www.oit.va.gov/Services/TRM/ToolPage.aspx?tid=16866^","Archi")</f>
      </c>
      <c r="B1921" s="4" t="s">
        <v>2670</v>
      </c>
      <c r="C1921" s="9" t="s">
        <v>6</v>
      </c>
      <c r="D1921" s="12" t="s">
        <v>2671</v>
      </c>
    </row>
    <row r="1922">
      <c r="A1922" s="5">
        <f>HYPERLINK("https://www.oit.va.gov/Services/TRM/ToolPage.aspx?tid=9356^","Arcserve Backup")</f>
      </c>
      <c r="B1922" s="4" t="s">
        <v>2672</v>
      </c>
      <c r="C1922" s="9" t="s">
        <v>6</v>
      </c>
      <c r="D1922" s="12" t="s">
        <v>2673</v>
      </c>
    </row>
    <row r="1923">
      <c r="A1923" s="5">
        <f>HYPERLINK("https://www.oit.va.gov/Services/TRM/ToolPage.aspx?tid=10973^","Arcserve Replication and High Availability (RHA)")</f>
      </c>
      <c r="B1923" s="4" t="s">
        <v>2672</v>
      </c>
      <c r="C1923" s="9" t="s">
        <v>6</v>
      </c>
      <c r="D1923" s="12" t="s">
        <v>2599</v>
      </c>
    </row>
    <row r="1924">
      <c r="A1924" s="5">
        <f>HYPERLINK("https://www.oit.va.gov/Services/TRM/ToolPage.aspx?tid=14114^","Arial")</f>
      </c>
      <c r="B1924" s="4" t="s">
        <v>2674</v>
      </c>
      <c r="C1924" s="9" t="s">
        <v>6</v>
      </c>
      <c r="D1924" s="12" t="s">
        <v>2675</v>
      </c>
    </row>
    <row r="1925">
      <c r="A1925" s="5">
        <f>HYPERLINK("https://www.oit.va.gov/Services/TRM/ToolPage.aspx?tid=7959^","Artel Pipette Calibration System (PCS)")</f>
      </c>
      <c r="B1925" s="4" t="s">
        <v>1364</v>
      </c>
      <c r="C1925" s="9" t="s">
        <v>6</v>
      </c>
      <c r="D1925" s="12" t="s">
        <v>1799</v>
      </c>
    </row>
    <row r="1926">
      <c r="A1926" s="5">
        <f>HYPERLINK("https://www.oit.va.gov/Services/TRM/ToolPage.aspx?tid=13258^","Articulate 360")</f>
      </c>
      <c r="B1926" s="4" t="s">
        <v>366</v>
      </c>
      <c r="C1926" s="9" t="s">
        <v>6</v>
      </c>
      <c r="D1926" s="12" t="s">
        <v>2676</v>
      </c>
    </row>
    <row r="1927">
      <c r="A1927" s="5">
        <f>HYPERLINK("https://www.oit.va.gov/Services/TRM/ToolPage.aspx?tid=11134^","Articulate Storyline 3")</f>
      </c>
      <c r="B1927" s="4" t="s">
        <v>366</v>
      </c>
      <c r="C1927" s="9" t="s">
        <v>6</v>
      </c>
      <c r="D1927" s="12" t="s">
        <v>1623</v>
      </c>
    </row>
    <row r="1928">
      <c r="A1928" s="5">
        <f>HYPERLINK("https://www.oit.va.gov/Services/TRM/ToolPage.aspx?tid=10957^","ASC Neo")</f>
      </c>
      <c r="B1928" s="4" t="s">
        <v>2677</v>
      </c>
      <c r="C1928" s="9" t="s">
        <v>6</v>
      </c>
      <c r="D1928" s="12" t="s">
        <v>2678</v>
      </c>
    </row>
    <row r="1929">
      <c r="A1929" s="5">
        <f>HYPERLINK("https://www.oit.va.gov/Services/TRM/ToolPage.aspx?tid=8724^","Ascent Compass")</f>
      </c>
      <c r="B1929" s="4" t="s">
        <v>2496</v>
      </c>
      <c r="C1929" s="9" t="s">
        <v>6</v>
      </c>
      <c r="D1929" s="12" t="s">
        <v>2679</v>
      </c>
    </row>
    <row r="1930">
      <c r="A1930" s="5">
        <f>HYPERLINK("https://www.oit.va.gov/Services/TRM/ToolPage.aspx?tid=14013^","Ascom Unite Administration Server")</f>
      </c>
      <c r="B1930" s="4" t="s">
        <v>798</v>
      </c>
      <c r="C1930" s="9" t="s">
        <v>6</v>
      </c>
      <c r="D1930" s="12" t="s">
        <v>2680</v>
      </c>
    </row>
    <row r="1931">
      <c r="A1931" s="5">
        <f>HYPERLINK("https://www.oit.va.gov/Services/TRM/ToolPage.aspx?tid=11116^","Ascom Unite Analyze Reporting")</f>
      </c>
      <c r="B1931" s="4" t="s">
        <v>798</v>
      </c>
      <c r="C1931" s="9" t="s">
        <v>6</v>
      </c>
      <c r="D1931" s="12" t="s">
        <v>937</v>
      </c>
    </row>
    <row r="1932">
      <c r="A1932" s="5">
        <f>HYPERLINK("https://www.oit.va.gov/Services/TRM/ToolPage.aspx?tid=10168^","Asigra Cloud Backup")</f>
      </c>
      <c r="B1932" s="4" t="s">
        <v>2681</v>
      </c>
      <c r="C1932" s="9" t="s">
        <v>6</v>
      </c>
      <c r="D1932" s="12" t="s">
        <v>2682</v>
      </c>
    </row>
    <row r="1933">
      <c r="A1933" s="5">
        <f>HYPERLINK("https://www.oit.va.gov/Services/TRM/ToolPage.aspx?tid=10782^","Aspera Connect Browser Plugin")</f>
      </c>
      <c r="B1933" s="4" t="s">
        <v>233</v>
      </c>
      <c r="C1933" s="9" t="s">
        <v>6</v>
      </c>
      <c r="D1933" s="12" t="s">
        <v>617</v>
      </c>
    </row>
    <row r="1934">
      <c r="A1934" s="5">
        <f>HYPERLINK("https://www.oit.va.gov/Services/TRM/ToolPage.aspx?tid=7789^","Aspera High-Speed Transfer Server")</f>
      </c>
      <c r="B1934" s="4" t="s">
        <v>233</v>
      </c>
      <c r="C1934" s="9" t="s">
        <v>6</v>
      </c>
      <c r="D1934" s="12" t="s">
        <v>2683</v>
      </c>
    </row>
    <row r="1935">
      <c r="A1935" s="5">
        <f>HYPERLINK("https://www.oit.va.gov/Services/TRM/ToolPage.aspx?tid=8274^","Asutype")</f>
      </c>
      <c r="B1935" s="4" t="s">
        <v>2684</v>
      </c>
      <c r="C1935" s="9" t="s">
        <v>6</v>
      </c>
      <c r="D1935" s="12" t="s">
        <v>2685</v>
      </c>
    </row>
    <row r="1936">
      <c r="A1936" s="5">
        <f>HYPERLINK("https://www.oit.va.gov/Services/TRM/ToolPage.aspx?tid=14835^","Atellica Data Manager")</f>
      </c>
      <c r="B1936" s="4" t="s">
        <v>806</v>
      </c>
      <c r="C1936" s="9" t="s">
        <v>6</v>
      </c>
      <c r="D1936" s="12" t="s">
        <v>2686</v>
      </c>
    </row>
    <row r="1937">
      <c r="A1937" s="5">
        <f>HYPERLINK("https://www.oit.va.gov/Services/TRM/ToolPage.aspx?tid=15503^","Atellica Inventory Manager (Atellica IN)")</f>
      </c>
      <c r="B1937" s="4" t="s">
        <v>1422</v>
      </c>
      <c r="C1937" s="9" t="s">
        <v>6</v>
      </c>
      <c r="D1937" s="12" t="s">
        <v>2687</v>
      </c>
    </row>
    <row r="1938">
      <c r="A1938" s="5">
        <f>HYPERLINK("https://www.oit.va.gov/Services/TRM/ToolPage.aspx?tid=16119^","Aternity Activity Designer")</f>
      </c>
      <c r="B1938" s="4" t="s">
        <v>2265</v>
      </c>
      <c r="C1938" s="9" t="s">
        <v>6</v>
      </c>
      <c r="D1938" s="12" t="s">
        <v>2688</v>
      </c>
    </row>
    <row r="1939">
      <c r="A1939" s="5">
        <f>HYPERLINK("https://www.oit.va.gov/Services/TRM/ToolPage.aspx?tid=6944^","Aternity Agent")</f>
      </c>
      <c r="B1939" s="4" t="s">
        <v>2265</v>
      </c>
      <c r="C1939" s="9" t="s">
        <v>6</v>
      </c>
      <c r="D1939" s="12" t="s">
        <v>2566</v>
      </c>
    </row>
    <row r="1940">
      <c r="A1940" s="5">
        <f>HYPERLINK("https://www.oit.va.gov/Services/TRM/ToolPage.aspx?tid=10935^","ATLANTIS ISUS Viewer")</f>
      </c>
      <c r="B1940" s="4" t="s">
        <v>2689</v>
      </c>
      <c r="C1940" s="9" t="s">
        <v>6</v>
      </c>
      <c r="D1940" s="12" t="s">
        <v>2690</v>
      </c>
    </row>
    <row r="1941">
      <c r="A1941" s="5">
        <f>HYPERLINK("https://www.oit.va.gov/Services/TRM/ToolPage.aspx?tid=6482^","Atlantis Three-Dimensional (3D) Editor")</f>
      </c>
      <c r="B1941" s="4" t="s">
        <v>2689</v>
      </c>
      <c r="C1941" s="9" t="s">
        <v>6</v>
      </c>
      <c r="D1941" s="12" t="s">
        <v>2691</v>
      </c>
    </row>
    <row r="1942">
      <c r="A1942" s="5">
        <f>HYPERLINK("https://www.oit.va.gov/Services/TRM/ToolPage.aspx?tid=11658^","ATLAS.ti")</f>
      </c>
      <c r="B1942" s="4" t="s">
        <v>2692</v>
      </c>
      <c r="C1942" s="9" t="s">
        <v>6</v>
      </c>
      <c r="D1942" s="12" t="s">
        <v>2693</v>
      </c>
    </row>
    <row r="1943">
      <c r="A1943" s="5">
        <f>HYPERLINK("https://www.oit.va.gov/Services/TRM/ToolPage.aspx?tid=13895^","AudBase")</f>
      </c>
      <c r="B1943" s="4" t="s">
        <v>2694</v>
      </c>
      <c r="C1943" s="9" t="s">
        <v>6</v>
      </c>
      <c r="D1943" s="12" t="s">
        <v>2695</v>
      </c>
    </row>
    <row r="1944">
      <c r="A1944" s="5">
        <f>HYPERLINK("https://www.oit.va.gov/Services/TRM/ToolPage.aspx?tid=16806^","Audiate")</f>
      </c>
      <c r="B1944" s="4" t="s">
        <v>1678</v>
      </c>
      <c r="C1944" s="9" t="s">
        <v>6</v>
      </c>
      <c r="D1944" s="12" t="s">
        <v>2592</v>
      </c>
    </row>
    <row r="1945">
      <c r="A1945" s="5">
        <f>HYPERLINK("https://www.oit.va.gov/Services/TRM/ToolPage.aspx?tid=9930^","Audioscan NOAH Module")</f>
      </c>
      <c r="B1945" s="4" t="s">
        <v>2696</v>
      </c>
      <c r="C1945" s="9" t="s">
        <v>6</v>
      </c>
      <c r="D1945" s="12" t="s">
        <v>2697</v>
      </c>
    </row>
    <row r="1946">
      <c r="A1946" s="5">
        <f>HYPERLINK("https://www.oit.va.gov/Services/TRM/ToolPage.aspx?tid=6681^","Audit Command Language (ACL) Analytics")</f>
      </c>
      <c r="B1946" s="4" t="s">
        <v>2698</v>
      </c>
      <c r="C1946" s="9" t="s">
        <v>6</v>
      </c>
      <c r="D1946" s="12" t="s">
        <v>2699</v>
      </c>
    </row>
    <row r="1947">
      <c r="A1947" s="5">
        <f>HYPERLINK("https://www.oit.va.gov/Services/TRM/ToolPage.aspx?tid=8394^","Aura Experience Portal (AAEP/AEP)")</f>
      </c>
      <c r="B1947" s="4" t="s">
        <v>1803</v>
      </c>
      <c r="C1947" s="9" t="s">
        <v>6</v>
      </c>
      <c r="D1947" s="12" t="s">
        <v>2700</v>
      </c>
    </row>
    <row r="1948">
      <c r="A1948" s="5">
        <f>HYPERLINK("https://www.oit.va.gov/Services/TRM/ToolPage.aspx?tid=7711^","AutoCAD Map 3D")</f>
      </c>
      <c r="B1948" s="4" t="s">
        <v>1800</v>
      </c>
      <c r="C1948" s="9" t="s">
        <v>6</v>
      </c>
      <c r="D1948" s="12" t="s">
        <v>2701</v>
      </c>
    </row>
    <row r="1949">
      <c r="A1949" s="5">
        <f>HYPERLINK("https://www.oit.va.gov/Services/TRM/ToolPage.aspx?tid=6754^","AutoDesk 3ds Max")</f>
      </c>
      <c r="B1949" s="4" t="s">
        <v>1800</v>
      </c>
      <c r="C1949" s="9" t="s">
        <v>6</v>
      </c>
      <c r="D1949" s="12" t="s">
        <v>2702</v>
      </c>
    </row>
    <row r="1950">
      <c r="A1950" s="5">
        <f>HYPERLINK("https://www.oit.va.gov/Services/TRM/ToolPage.aspx?tid=5573^","Autodesk Inventor")</f>
      </c>
      <c r="B1950" s="4" t="s">
        <v>1800</v>
      </c>
      <c r="C1950" s="9" t="s">
        <v>6</v>
      </c>
      <c r="D1950" s="12" t="s">
        <v>2703</v>
      </c>
    </row>
    <row r="1951">
      <c r="A1951" s="5">
        <f>HYPERLINK("https://www.oit.va.gov/Services/TRM/ToolPage.aspx?tid=16801^","Autodesk Navisworks Exporters")</f>
      </c>
      <c r="B1951" s="4" t="s">
        <v>1800</v>
      </c>
      <c r="C1951" s="9" t="s">
        <v>6</v>
      </c>
      <c r="D1951" s="12" t="s">
        <v>2704</v>
      </c>
    </row>
    <row r="1952">
      <c r="A1952" s="5">
        <f>HYPERLINK("https://www.oit.va.gov/Services/TRM/ToolPage.aspx?tid=11237^","Autodesk Navisworks Manage")</f>
      </c>
      <c r="B1952" s="4" t="s">
        <v>1800</v>
      </c>
      <c r="C1952" s="9" t="s">
        <v>6</v>
      </c>
      <c r="D1952" s="12" t="s">
        <v>2705</v>
      </c>
    </row>
    <row r="1953">
      <c r="A1953" s="5">
        <f>HYPERLINK("https://www.oit.va.gov/Services/TRM/ToolPage.aspx?tid=7746^","Autodesk Recap Pro")</f>
      </c>
      <c r="B1953" s="4" t="s">
        <v>1800</v>
      </c>
      <c r="C1953" s="9" t="s">
        <v>6</v>
      </c>
      <c r="D1953" s="12" t="s">
        <v>2706</v>
      </c>
    </row>
    <row r="1954">
      <c r="A1954" s="5">
        <f>HYPERLINK("https://www.oit.va.gov/Services/TRM/ToolPage.aspx?tid=5574^","Autodesk Revit")</f>
      </c>
      <c r="B1954" s="4" t="s">
        <v>1800</v>
      </c>
      <c r="C1954" s="9" t="s">
        <v>6</v>
      </c>
      <c r="D1954" s="12" t="s">
        <v>2707</v>
      </c>
    </row>
    <row r="1955">
      <c r="A1955" s="5">
        <f>HYPERLINK("https://www.oit.va.gov/Services/TRM/ToolPage.aspx?tid=7748^","Autodesk Vault")</f>
      </c>
      <c r="B1955" s="4" t="s">
        <v>1800</v>
      </c>
      <c r="C1955" s="9" t="s">
        <v>6</v>
      </c>
      <c r="D1955" s="12" t="s">
        <v>2708</v>
      </c>
    </row>
    <row r="1956">
      <c r="A1956" s="5">
        <f>HYPERLINK("https://www.oit.va.gov/Services/TRM/ToolPage.aspx?tid=8717^","AutoMailMerge")</f>
      </c>
      <c r="B1956" s="4" t="s">
        <v>2709</v>
      </c>
      <c r="C1956" s="9" t="s">
        <v>6</v>
      </c>
      <c r="D1956" s="12" t="s">
        <v>2710</v>
      </c>
    </row>
    <row r="1957">
      <c r="A1957" s="5">
        <f>HYPERLINK("https://www.oit.va.gov/Services/TRM/ToolPage.aspx?tid=11728^","AutoMapper")</f>
      </c>
      <c r="B1957" s="4" t="s">
        <v>2711</v>
      </c>
      <c r="C1957" s="9" t="s">
        <v>6</v>
      </c>
      <c r="D1957" s="12" t="s">
        <v>2712</v>
      </c>
    </row>
    <row r="1958">
      <c r="A1958" s="5">
        <f>HYPERLINK("https://www.oit.va.gov/Services/TRM/ToolPage.aspx?tid=7141^","Automated Acquisition Management Solution (AAMS)")</f>
      </c>
      <c r="B1958" s="4" t="s">
        <v>2713</v>
      </c>
      <c r="C1958" s="9" t="s">
        <v>6</v>
      </c>
      <c r="D1958" s="12" t="s">
        <v>2714</v>
      </c>
    </row>
    <row r="1959">
      <c r="A1959" s="5">
        <f>HYPERLINK("https://www.oit.va.gov/Services/TRM/ToolPage.aspx?tid=13293^","Automic Workload Automation")</f>
      </c>
      <c r="B1959" s="4" t="s">
        <v>347</v>
      </c>
      <c r="C1959" s="9" t="s">
        <v>6</v>
      </c>
      <c r="D1959" s="12" t="s">
        <v>440</v>
      </c>
    </row>
    <row r="1960">
      <c r="A1960" s="5">
        <f>HYPERLINK("https://www.oit.va.gov/Services/TRM/ToolPage.aspx?tid=15822^","AutoPass License Server (APLS)")</f>
      </c>
      <c r="B1960" s="4" t="s">
        <v>1411</v>
      </c>
      <c r="C1960" s="9" t="s">
        <v>6</v>
      </c>
      <c r="D1960" s="12" t="s">
        <v>2715</v>
      </c>
    </row>
    <row r="1961">
      <c r="A1961" s="5">
        <f>HYPERLINK("https://www.oit.va.gov/Services/TRM/ToolPage.aspx?tid=7672^","AutoStore")</f>
      </c>
      <c r="B1961" s="4" t="s">
        <v>1181</v>
      </c>
      <c r="C1961" s="9" t="s">
        <v>6</v>
      </c>
      <c r="D1961" s="12" t="s">
        <v>2716</v>
      </c>
    </row>
    <row r="1962">
      <c r="A1962" s="5">
        <f>HYPERLINK("https://www.oit.va.gov/Services/TRM/ToolPage.aspx?tid=10600^","AvaSure Telesitter")</f>
      </c>
      <c r="B1962" s="4" t="s">
        <v>2717</v>
      </c>
      <c r="C1962" s="9" t="s">
        <v>6</v>
      </c>
      <c r="D1962" s="12" t="s">
        <v>2718</v>
      </c>
    </row>
    <row r="1963">
      <c r="A1963" s="5">
        <f>HYPERLINK("https://www.oit.va.gov/Services/TRM/ToolPage.aspx?tid=9571^","Avaya Aura Agent Desktop (AAAD)")</f>
      </c>
      <c r="B1963" s="4" t="s">
        <v>1803</v>
      </c>
      <c r="C1963" s="9" t="s">
        <v>6</v>
      </c>
      <c r="D1963" s="12" t="s">
        <v>2719</v>
      </c>
    </row>
    <row r="1964">
      <c r="A1964" s="5">
        <f>HYPERLINK("https://www.oit.va.gov/Services/TRM/ToolPage.aspx?tid=8192^","Avaya Aura Call Center Elite Multi Channel")</f>
      </c>
      <c r="B1964" s="4" t="s">
        <v>1803</v>
      </c>
      <c r="C1964" s="9" t="s">
        <v>6</v>
      </c>
      <c r="D1964" s="12" t="s">
        <v>2720</v>
      </c>
    </row>
    <row r="1965">
      <c r="A1965" s="5">
        <f>HYPERLINK("https://www.oit.va.gov/Services/TRM/ToolPage.aspx?tid=12879^","Avaya Aura Communication Manager")</f>
      </c>
      <c r="B1965" s="4" t="s">
        <v>1803</v>
      </c>
      <c r="C1965" s="9" t="s">
        <v>6</v>
      </c>
      <c r="D1965" s="12" t="s">
        <v>2721</v>
      </c>
    </row>
    <row r="1966">
      <c r="A1966" s="5">
        <f>HYPERLINK("https://www.oit.va.gov/Services/TRM/ToolPage.aspx?tid=15666^","Avaya Callback Assist (CBA)")</f>
      </c>
      <c r="B1966" s="4" t="s">
        <v>1803</v>
      </c>
      <c r="C1966" s="9" t="s">
        <v>6</v>
      </c>
      <c r="D1966" s="12" t="s">
        <v>2722</v>
      </c>
    </row>
    <row r="1967">
      <c r="A1967" s="5">
        <f>HYPERLINK("https://www.oit.va.gov/Services/TRM/ToolPage.aspx?tid=5591^","Avaya CallPilot")</f>
      </c>
      <c r="B1967" s="4" t="s">
        <v>1803</v>
      </c>
      <c r="C1967" s="9" t="s">
        <v>6</v>
      </c>
      <c r="D1967" s="12" t="s">
        <v>961</v>
      </c>
    </row>
    <row r="1968">
      <c r="A1968" s="5">
        <f>HYPERLINK("https://www.oit.va.gov/Services/TRM/ToolPage.aspx?tid=9099^","Avaya Diagnostic Server")</f>
      </c>
      <c r="B1968" s="4" t="s">
        <v>1803</v>
      </c>
      <c r="C1968" s="9" t="s">
        <v>6</v>
      </c>
      <c r="D1968" s="12" t="s">
        <v>2723</v>
      </c>
    </row>
    <row r="1969">
      <c r="A1969" s="5">
        <f>HYPERLINK("https://www.oit.va.gov/Services/TRM/ToolPage.aspx?tid=10149^","Avaya one-X Agent")</f>
      </c>
      <c r="B1969" s="4" t="s">
        <v>1803</v>
      </c>
      <c r="C1969" s="9" t="s">
        <v>6</v>
      </c>
      <c r="D1969" s="12" t="s">
        <v>2724</v>
      </c>
    </row>
    <row r="1970">
      <c r="A1970" s="5">
        <f>HYPERLINK("https://www.oit.va.gov/Services/TRM/ToolPage.aspx?tid=13433^","Avaya Workforce Engagement")</f>
      </c>
      <c r="B1970" s="4" t="s">
        <v>1803</v>
      </c>
      <c r="C1970" s="9" t="s">
        <v>6</v>
      </c>
      <c r="D1970" s="12" t="s">
        <v>1271</v>
      </c>
    </row>
    <row r="1971">
      <c r="A1971" s="5">
        <f>HYPERLINK("https://www.oit.va.gov/Services/TRM/ToolPage.aspx?tid=6544^","Avaya Workplace Client")</f>
      </c>
      <c r="B1971" s="4" t="s">
        <v>1803</v>
      </c>
      <c r="C1971" s="9" t="s">
        <v>6</v>
      </c>
      <c r="D1971" s="12" t="s">
        <v>2725</v>
      </c>
    </row>
    <row r="1972">
      <c r="A1972" s="5">
        <f>HYPERLINK("https://www.oit.va.gov/Services/TRM/ToolPage.aspx?tid=5577^","Avery Design and Print")</f>
      </c>
      <c r="B1972" s="4" t="s">
        <v>229</v>
      </c>
      <c r="C1972" s="9" t="s">
        <v>6</v>
      </c>
      <c r="D1972" s="12" t="s">
        <v>2726</v>
      </c>
    </row>
    <row r="1973">
      <c r="A1973" s="5">
        <f>HYPERLINK("https://www.oit.va.gov/Services/TRM/ToolPage.aspx?tid=15849^","Avigilon Camera Configuration Tool (CCT)")</f>
      </c>
      <c r="B1973" s="4" t="s">
        <v>2664</v>
      </c>
      <c r="C1973" s="9" t="s">
        <v>6</v>
      </c>
      <c r="D1973" s="12" t="s">
        <v>2727</v>
      </c>
    </row>
    <row r="1974">
      <c r="A1974" s="5">
        <f>HYPERLINK("https://www.oit.va.gov/Services/TRM/ToolPage.aspx?tid=15423^","AVI-SPL Symphony")</f>
      </c>
      <c r="B1974" s="4" t="s">
        <v>2728</v>
      </c>
      <c r="C1974" s="9" t="s">
        <v>6</v>
      </c>
      <c r="D1974" s="12" t="s">
        <v>144</v>
      </c>
    </row>
    <row r="1975">
      <c r="A1975" s="5">
        <f>HYPERLINK("https://www.oit.va.gov/Services/TRM/ToolPage.aspx?tid=9726^","Axe DevTools Browser Extension")</f>
      </c>
      <c r="B1975" s="4" t="s">
        <v>2729</v>
      </c>
      <c r="C1975" s="9" t="s">
        <v>6</v>
      </c>
      <c r="D1975" s="12" t="s">
        <v>2730</v>
      </c>
    </row>
    <row r="1976">
      <c r="A1976" s="5">
        <f>HYPERLINK("https://www.oit.va.gov/Services/TRM/ToolPage.aspx?tid=6626^","Axe Monitor")</f>
      </c>
      <c r="B1976" s="4" t="s">
        <v>2729</v>
      </c>
      <c r="C1976" s="9" t="s">
        <v>6</v>
      </c>
      <c r="D1976" s="12" t="s">
        <v>2731</v>
      </c>
    </row>
    <row r="1977">
      <c r="A1977" s="5">
        <f>HYPERLINK("https://www.oit.va.gov/Services/TRM/ToolPage.aspx?tid=11518^","aXe-core")</f>
      </c>
      <c r="B1977" s="4" t="s">
        <v>2729</v>
      </c>
      <c r="C1977" s="9" t="s">
        <v>6</v>
      </c>
      <c r="D1977" s="12" t="s">
        <v>1507</v>
      </c>
    </row>
    <row r="1978">
      <c r="A1978" s="5">
        <f>HYPERLINK("https://www.oit.va.gov/Services/TRM/ToolPage.aspx?tid=16217^","Axon Evidence Upload XT")</f>
      </c>
      <c r="B1978" s="4" t="s">
        <v>2732</v>
      </c>
      <c r="C1978" s="9" t="s">
        <v>6</v>
      </c>
      <c r="D1978" s="12" t="s">
        <v>2733</v>
      </c>
    </row>
    <row r="1979">
      <c r="A1979" s="5">
        <f>HYPERLINK("https://www.oit.va.gov/Services/TRM/ToolPage.aspx?tid=16215^","AXON Fleet Dashboard")</f>
      </c>
      <c r="B1979" s="4" t="s">
        <v>2732</v>
      </c>
      <c r="C1979" s="9" t="s">
        <v>6</v>
      </c>
      <c r="D1979" s="12" t="s">
        <v>2734</v>
      </c>
    </row>
    <row r="1980">
      <c r="A1980" s="5">
        <f>HYPERLINK("https://www.oit.va.gov/Services/TRM/ToolPage.aspx?tid=16218^","Axon View XL Standalone Mode")</f>
      </c>
      <c r="B1980" s="4" t="s">
        <v>2732</v>
      </c>
      <c r="C1980" s="9" t="s">
        <v>6</v>
      </c>
      <c r="D1980" s="12" t="s">
        <v>2735</v>
      </c>
    </row>
    <row r="1981">
      <c r="A1981" s="5">
        <f>HYPERLINK("https://www.oit.va.gov/Services/TRM/ToolPage.aspx?tid=6499^","Backup Exec")</f>
      </c>
      <c r="B1981" s="4" t="s">
        <v>2736</v>
      </c>
      <c r="C1981" s="9" t="s">
        <v>6</v>
      </c>
      <c r="D1981" s="12" t="s">
        <v>2737</v>
      </c>
    </row>
    <row r="1982">
      <c r="A1982" s="5">
        <f>HYPERLINK("https://www.oit.va.gov/Services/TRM/ToolPage.aspx?tid=14195^","Badboy")</f>
      </c>
      <c r="B1982" s="4" t="s">
        <v>2738</v>
      </c>
      <c r="C1982" s="9" t="s">
        <v>6</v>
      </c>
      <c r="D1982" s="12" t="s">
        <v>2739</v>
      </c>
    </row>
    <row r="1983">
      <c r="A1983" s="5">
        <f>HYPERLINK("https://www.oit.va.gov/Services/TRM/ToolPage.aspx?tid=16323^","Balance Tracking Systems (BTrackS) Assess Balance")</f>
      </c>
      <c r="B1983" s="4" t="s">
        <v>2740</v>
      </c>
      <c r="C1983" s="9" t="s">
        <v>6</v>
      </c>
      <c r="D1983" s="12" t="s">
        <v>2741</v>
      </c>
    </row>
    <row r="1984">
      <c r="A1984" s="5">
        <f>HYPERLINK("https://www.oit.va.gov/Services/TRM/ToolPage.aspx?tid=7749^","Balsamiq Mockups")</f>
      </c>
      <c r="B1984" s="4" t="s">
        <v>2742</v>
      </c>
      <c r="C1984" s="9" t="s">
        <v>6</v>
      </c>
      <c r="D1984" s="12" t="s">
        <v>2743</v>
      </c>
    </row>
    <row r="1985">
      <c r="A1985" s="5">
        <f>HYPERLINK("https://www.oit.va.gov/Services/TRM/ToolPage.aspx?tid=7346^","BarTender")</f>
      </c>
      <c r="B1985" s="4" t="s">
        <v>2744</v>
      </c>
      <c r="C1985" s="9" t="s">
        <v>6</v>
      </c>
      <c r="D1985" s="12" t="s">
        <v>2745</v>
      </c>
    </row>
    <row r="1986">
      <c r="A1986" s="5">
        <f>HYPERLINK("https://www.oit.va.gov/Services/TRM/ToolPage.aspx?tid=10173^","BCC Architect")</f>
      </c>
      <c r="B1986" s="4" t="s">
        <v>1809</v>
      </c>
      <c r="C1986" s="9" t="s">
        <v>6</v>
      </c>
      <c r="D1986" s="12" t="s">
        <v>2746</v>
      </c>
    </row>
    <row r="1987">
      <c r="A1987" s="5">
        <f>HYPERLINK("https://www.oit.va.gov/Services/TRM/ToolPage.aspx?tid=14521^","BCC Mail Manager")</f>
      </c>
      <c r="B1987" s="4" t="s">
        <v>1809</v>
      </c>
      <c r="C1987" s="9" t="s">
        <v>6</v>
      </c>
      <c r="D1987" s="12" t="s">
        <v>89</v>
      </c>
    </row>
    <row r="1988">
      <c r="A1988" s="5">
        <f>HYPERLINK("https://www.oit.va.gov/Services/TRM/ToolPage.aspx?tid=14469^","B-Coder")</f>
      </c>
      <c r="B1988" s="4" t="s">
        <v>2747</v>
      </c>
      <c r="C1988" s="9" t="s">
        <v>6</v>
      </c>
      <c r="D1988" s="12" t="s">
        <v>2748</v>
      </c>
    </row>
    <row r="1989">
      <c r="A1989" s="5">
        <f>HYPERLINK("https://www.oit.va.gov/Services/TRM/ToolPage.aspx?tid=8804^","BCS Advanced Capture")</f>
      </c>
      <c r="B1989" s="4" t="s">
        <v>1642</v>
      </c>
      <c r="C1989" s="9" t="s">
        <v>6</v>
      </c>
      <c r="D1989" s="12" t="s">
        <v>2749</v>
      </c>
    </row>
    <row r="1990">
      <c r="A1990" s="5">
        <f>HYPERLINK("https://www.oit.va.gov/Services/TRM/ToolPage.aspx?tid=13804^","BD Assurity Linc")</f>
      </c>
      <c r="B1990" s="4" t="s">
        <v>762</v>
      </c>
      <c r="C1990" s="9" t="s">
        <v>6</v>
      </c>
      <c r="D1990" s="12" t="s">
        <v>160</v>
      </c>
    </row>
    <row r="1991">
      <c r="A1991" s="5">
        <f>HYPERLINK("https://www.oit.va.gov/Services/TRM/ToolPage.aspx?tid=14516^","BEAM")</f>
      </c>
      <c r="B1991" s="4" t="s">
        <v>2750</v>
      </c>
      <c r="C1991" s="9" t="s">
        <v>6</v>
      </c>
      <c r="D1991" s="12" t="s">
        <v>2751</v>
      </c>
    </row>
    <row r="1992">
      <c r="A1992" s="5">
        <f>HYPERLINK("https://www.oit.va.gov/Services/TRM/ToolPage.aspx?tid=7152^","Behavior Rating Inventory of Executive Function - Adult Version (BRIEF-A)")</f>
      </c>
      <c r="B1992" s="4" t="s">
        <v>2752</v>
      </c>
      <c r="C1992" s="9" t="s">
        <v>6</v>
      </c>
      <c r="D1992" s="12" t="s">
        <v>2753</v>
      </c>
    </row>
    <row r="1993">
      <c r="A1993" s="5">
        <f>HYPERLINK("https://www.oit.va.gov/Services/TRM/ToolPage.aspx?tid=10437^","BeyondTrust Remote Support")</f>
      </c>
      <c r="B1993" s="4" t="s">
        <v>2754</v>
      </c>
      <c r="C1993" s="9" t="s">
        <v>6</v>
      </c>
      <c r="D1993" s="12" t="s">
        <v>2755</v>
      </c>
    </row>
    <row r="1994">
      <c r="A1994" s="5">
        <f>HYPERLINK("https://www.oit.va.gov/Services/TRM/ToolPage.aspx?tid=11760^","BigFix Remote Control")</f>
      </c>
      <c r="B1994" s="4" t="s">
        <v>2756</v>
      </c>
      <c r="C1994" s="9" t="s">
        <v>6</v>
      </c>
      <c r="D1994" s="12" t="s">
        <v>2757</v>
      </c>
    </row>
    <row r="1995">
      <c r="A1995" s="5">
        <f>HYPERLINK("https://www.oit.va.gov/Services/TRM/ToolPage.aspx?tid=13958^","BioAdaptor")</f>
      </c>
      <c r="B1995" s="4" t="s">
        <v>2758</v>
      </c>
      <c r="C1995" s="9" t="s">
        <v>6</v>
      </c>
      <c r="D1995" s="12" t="s">
        <v>2759</v>
      </c>
    </row>
    <row r="1996">
      <c r="A1996" s="5">
        <f>HYPERLINK("https://www.oit.va.gov/Services/TRM/ToolPage.aspx?tid=14557^","Biscom Secure File Transfer (SFT)")</f>
      </c>
      <c r="B1996" s="4" t="s">
        <v>1644</v>
      </c>
      <c r="C1996" s="9" t="s">
        <v>6</v>
      </c>
      <c r="D1996" s="12" t="s">
        <v>1643</v>
      </c>
    </row>
    <row r="1997">
      <c r="A1997" s="5">
        <f>HYPERLINK("https://www.oit.va.gov/Services/TRM/ToolPage.aspx?tid=14556^","Blackbaud Grantmaking (GIFTS)")</f>
      </c>
      <c r="B1997" s="4" t="s">
        <v>2396</v>
      </c>
      <c r="C1997" s="9" t="s">
        <v>6</v>
      </c>
      <c r="D1997" s="12" t="s">
        <v>547</v>
      </c>
    </row>
    <row r="1998">
      <c r="A1998" s="5">
        <f>HYPERLINK("https://www.oit.va.gov/Services/TRM/ToolPage.aspx?tid=7220^","Blaise")</f>
      </c>
      <c r="B1998" s="4" t="s">
        <v>2760</v>
      </c>
      <c r="C1998" s="9" t="s">
        <v>6</v>
      </c>
      <c r="D1998" s="12" t="s">
        <v>2761</v>
      </c>
    </row>
    <row r="1999">
      <c r="A1999" s="5">
        <f>HYPERLINK("https://www.oit.va.gov/Services/TRM/ToolPage.aspx?tid=15293^","Blue Prism Enterprise")</f>
      </c>
      <c r="B1999" s="4" t="s">
        <v>2762</v>
      </c>
      <c r="C1999" s="9" t="s">
        <v>6</v>
      </c>
      <c r="D1999" s="12" t="s">
        <v>2763</v>
      </c>
    </row>
    <row r="2000">
      <c r="A2000" s="5">
        <f>HYPERLINK("https://www.oit.va.gov/Services/TRM/ToolPage.aspx?tid=16750^","Blue Prism Hub")</f>
      </c>
      <c r="B2000" s="4" t="s">
        <v>833</v>
      </c>
      <c r="C2000" s="9" t="s">
        <v>6</v>
      </c>
      <c r="D2000" s="12" t="s">
        <v>101</v>
      </c>
    </row>
    <row r="2001">
      <c r="A2001" s="5">
        <f>HYPERLINK("https://www.oit.va.gov/Services/TRM/ToolPage.aspx?tid=13323^","BMC Action Request (AR) System")</f>
      </c>
      <c r="B2001" s="4" t="s">
        <v>2764</v>
      </c>
      <c r="C2001" s="9" t="s">
        <v>6</v>
      </c>
      <c r="D2001" s="12" t="s">
        <v>1836</v>
      </c>
    </row>
    <row r="2002">
      <c r="A2002" s="5">
        <f>HYPERLINK("https://www.oit.va.gov/Services/TRM/ToolPage.aspx?tid=8406^","BMC AMI DevX Abend-AID for Customer Information Control System (CICS)")</f>
      </c>
      <c r="B2002" s="4" t="s">
        <v>2764</v>
      </c>
      <c r="C2002" s="9" t="s">
        <v>6</v>
      </c>
      <c r="D2002" s="12" t="s">
        <v>2765</v>
      </c>
    </row>
    <row r="2003">
      <c r="A2003" s="5">
        <f>HYPERLINK("https://www.oit.va.gov/Services/TRM/ToolPage.aspx?tid=9487^","BMC AMI DevX Workbench for Eclipse")</f>
      </c>
      <c r="B2003" s="4" t="s">
        <v>2764</v>
      </c>
      <c r="C2003" s="9" t="s">
        <v>6</v>
      </c>
      <c r="D2003" s="12" t="s">
        <v>2766</v>
      </c>
    </row>
    <row r="2004">
      <c r="A2004" s="5">
        <f>HYPERLINK("https://www.oit.va.gov/Services/TRM/ToolPage.aspx?tid=8575^","BMC AMI Storage UPSTREAM for z/OS Server")</f>
      </c>
      <c r="B2004" s="4" t="s">
        <v>2764</v>
      </c>
      <c r="C2004" s="9" t="s">
        <v>6</v>
      </c>
      <c r="D2004" s="12" t="s">
        <v>2767</v>
      </c>
    </row>
    <row r="2005">
      <c r="A2005" s="5">
        <f>HYPERLINK("https://www.oit.va.gov/Services/TRM/ToolPage.aspx?tid=16560^","BMC Helix Continuous Optimization")</f>
      </c>
      <c r="B2005" s="4" t="s">
        <v>2764</v>
      </c>
      <c r="C2005" s="9" t="s">
        <v>6</v>
      </c>
      <c r="D2005" s="12" t="s">
        <v>2768</v>
      </c>
    </row>
    <row r="2006">
      <c r="A2006" s="5">
        <f>HYPERLINK("https://www.oit.va.gov/Services/TRM/ToolPage.aspx?tid=16421^","Bodyswaps")</f>
      </c>
      <c r="B2006" s="4" t="s">
        <v>2769</v>
      </c>
      <c r="C2006" s="9" t="s">
        <v>6</v>
      </c>
      <c r="D2006" s="12" t="s">
        <v>2770</v>
      </c>
    </row>
    <row r="2007">
      <c r="A2007" s="5">
        <f>HYPERLINK("https://www.oit.va.gov/Services/TRM/ToolPage.aspx?tid=13938^","Bosch Video Management Systems (BVMS)")</f>
      </c>
      <c r="B2007" s="4" t="s">
        <v>2771</v>
      </c>
      <c r="C2007" s="9" t="s">
        <v>6</v>
      </c>
      <c r="D2007" s="12" t="s">
        <v>43</v>
      </c>
    </row>
    <row r="2008">
      <c r="A2008" s="5">
        <f>HYPERLINK("https://www.oit.va.gov/Services/TRM/ToolPage.aspx?tid=7598^","Brackets")</f>
      </c>
      <c r="B2008" s="4" t="s">
        <v>110</v>
      </c>
      <c r="C2008" s="9" t="s">
        <v>6</v>
      </c>
      <c r="D2008" s="12" t="s">
        <v>2772</v>
      </c>
    </row>
    <row r="2009">
      <c r="A2009" s="5">
        <f>HYPERLINK("https://www.oit.va.gov/Services/TRM/ToolPage.aspx?tid=15414^","Brainlab Elements")</f>
      </c>
      <c r="B2009" s="4" t="s">
        <v>2773</v>
      </c>
      <c r="C2009" s="9" t="s">
        <v>6</v>
      </c>
      <c r="D2009" s="12" t="s">
        <v>2774</v>
      </c>
    </row>
    <row r="2010">
      <c r="A2010" s="5">
        <f>HYPERLINK("https://www.oit.va.gov/Services/TRM/ToolPage.aspx?tid=13468^","Broadcom Development Test (DevTest) Solutions")</f>
      </c>
      <c r="B2010" s="4" t="s">
        <v>347</v>
      </c>
      <c r="C2010" s="9" t="s">
        <v>6</v>
      </c>
      <c r="D2010" s="12" t="s">
        <v>2775</v>
      </c>
    </row>
    <row r="2011">
      <c r="A2011" s="5">
        <f>HYPERLINK("https://www.oit.va.gov/Services/TRM/ToolPage.aspx?tid=15520^","BroadView Software Traffic System")</f>
      </c>
      <c r="B2011" s="4" t="s">
        <v>2776</v>
      </c>
      <c r="C2011" s="9" t="s">
        <v>6</v>
      </c>
      <c r="D2011" s="12" t="s">
        <v>2777</v>
      </c>
    </row>
    <row r="2012">
      <c r="A2012" s="5">
        <f>HYPERLINK("https://www.oit.va.gov/Services/TRM/ToolPage.aspx?tid=14903^","Bucher + Suter (B + S) Connects for Salesforce")</f>
      </c>
      <c r="B2012" s="4" t="s">
        <v>2778</v>
      </c>
      <c r="C2012" s="9" t="s">
        <v>6</v>
      </c>
      <c r="D2012" s="12" t="s">
        <v>2779</v>
      </c>
    </row>
    <row r="2013">
      <c r="A2013" s="5">
        <f>HYPERLINK("https://www.oit.va.gov/Services/TRM/ToolPage.aspx?tid=6483^","Business Service Management (BSM)")</f>
      </c>
      <c r="B2013" s="4" t="s">
        <v>1411</v>
      </c>
      <c r="C2013" s="9" t="s">
        <v>6</v>
      </c>
      <c r="D2013" s="12" t="s">
        <v>2102</v>
      </c>
    </row>
    <row r="2014">
      <c r="A2014" s="5">
        <f>HYPERLINK("https://www.oit.va.gov/Services/TRM/ToolPage.aspx?tid=13231^","BWAnalysis")</f>
      </c>
      <c r="B2014" s="4" t="s">
        <v>843</v>
      </c>
      <c r="C2014" s="9" t="s">
        <v>6</v>
      </c>
      <c r="D2014" s="12" t="s">
        <v>2780</v>
      </c>
    </row>
    <row r="2015">
      <c r="A2015" s="5">
        <f>HYPERLINK("https://www.oit.va.gov/Services/TRM/ToolPage.aspx?tid=7332^","CA Configuration Automation")</f>
      </c>
      <c r="B2015" s="4" t="s">
        <v>347</v>
      </c>
      <c r="C2015" s="9" t="s">
        <v>6</v>
      </c>
      <c r="D2015" s="12" t="s">
        <v>2781</v>
      </c>
    </row>
    <row r="2016">
      <c r="A2016" s="5">
        <f>HYPERLINK("https://www.oit.va.gov/Services/TRM/ToolPage.aspx?tid=6376^","CA Service Desk Manager (SDM)")</f>
      </c>
      <c r="B2016" s="4" t="s">
        <v>347</v>
      </c>
      <c r="C2016" s="9" t="s">
        <v>6</v>
      </c>
      <c r="D2016" s="12" t="s">
        <v>2782</v>
      </c>
    </row>
    <row r="2017">
      <c r="A2017" s="5">
        <f>HYPERLINK("https://www.oit.va.gov/Services/TRM/ToolPage.aspx?tid=9102^","CA SOLVE:Access Session Management")</f>
      </c>
      <c r="B2017" s="4" t="s">
        <v>347</v>
      </c>
      <c r="C2017" s="9" t="s">
        <v>6</v>
      </c>
      <c r="D2017" s="12" t="s">
        <v>2706</v>
      </c>
    </row>
    <row r="2018">
      <c r="A2018" s="5">
        <f>HYPERLINK("https://www.oit.va.gov/Services/TRM/ToolPage.aspx?tid=8504^","CA Workload Automation (WA) Restart Option for z/OS Schedulers")</f>
      </c>
      <c r="B2018" s="4" t="s">
        <v>347</v>
      </c>
      <c r="C2018" s="9" t="s">
        <v>6</v>
      </c>
      <c r="D2018" s="12" t="s">
        <v>2783</v>
      </c>
    </row>
    <row r="2019">
      <c r="A2019" s="5">
        <f>HYPERLINK("https://www.oit.va.gov/Services/TRM/ToolPage.aspx?tid=6386^","Cache Server Pages (CSP)")</f>
      </c>
      <c r="B2019" s="4" t="s">
        <v>1155</v>
      </c>
      <c r="C2019" s="9" t="s">
        <v>6</v>
      </c>
      <c r="D2019" s="12" t="s">
        <v>2784</v>
      </c>
    </row>
    <row r="2020">
      <c r="A2020" s="5">
        <f>HYPERLINK("https://www.oit.va.gov/Services/TRM/ToolPage.aspx?tid=7903^","Calabrio One")</f>
      </c>
      <c r="B2020" s="4" t="s">
        <v>2785</v>
      </c>
      <c r="C2020" s="9" t="s">
        <v>6</v>
      </c>
      <c r="D2020" s="12" t="s">
        <v>2786</v>
      </c>
    </row>
    <row r="2021">
      <c r="A2021" s="5">
        <f>HYPERLINK("https://www.oit.va.gov/Services/TRM/ToolPage.aspx?tid=10334^","Calero VeraSMART Call Accounting Software")</f>
      </c>
      <c r="B2021" s="4" t="s">
        <v>2787</v>
      </c>
      <c r="C2021" s="9" t="s">
        <v>6</v>
      </c>
      <c r="D2021" s="12" t="s">
        <v>2788</v>
      </c>
    </row>
    <row r="2022">
      <c r="A2022" s="5">
        <f>HYPERLINK("https://www.oit.va.gov/Services/TRM/ToolPage.aspx?tid=7675^","Call Center Operator Console")</f>
      </c>
      <c r="B2022" s="4" t="s">
        <v>1508</v>
      </c>
      <c r="C2022" s="9" t="s">
        <v>6</v>
      </c>
      <c r="D2022" s="12" t="s">
        <v>2753</v>
      </c>
    </row>
    <row r="2023">
      <c r="A2023" s="5">
        <f>HYPERLINK("https://www.oit.va.gov/Services/TRM/ToolPage.aspx?tid=16292^","Canva for Desktop")</f>
      </c>
      <c r="B2023" s="4" t="s">
        <v>2789</v>
      </c>
      <c r="C2023" s="9" t="s">
        <v>6</v>
      </c>
      <c r="D2023" s="12" t="s">
        <v>2406</v>
      </c>
    </row>
    <row r="2024">
      <c r="A2024" s="5">
        <f>HYPERLINK("https://www.oit.va.gov/Services/TRM/ToolPage.aspx?tid=13941^","Canvas Learning Management System (LMS)")</f>
      </c>
      <c r="B2024" s="4" t="s">
        <v>2790</v>
      </c>
      <c r="C2024" s="9" t="s">
        <v>6</v>
      </c>
      <c r="D2024" s="12" t="s">
        <v>2791</v>
      </c>
    </row>
    <row r="2025">
      <c r="A2025" s="5">
        <f>HYPERLINK("https://www.oit.va.gov/Services/TRM/ToolPage.aspx?tid=6580^","Canvas X for Windows")</f>
      </c>
      <c r="B2025" s="4" t="s">
        <v>2792</v>
      </c>
      <c r="C2025" s="9" t="s">
        <v>6</v>
      </c>
      <c r="D2025" s="12" t="s">
        <v>2793</v>
      </c>
    </row>
    <row r="2026">
      <c r="A2026" s="5">
        <f>HYPERLINK("https://www.oit.va.gov/Services/TRM/ToolPage.aspx?tid=15682^","CaptureTech Web Manager")</f>
      </c>
      <c r="B2026" s="4" t="s">
        <v>2794</v>
      </c>
      <c r="C2026" s="9" t="s">
        <v>6</v>
      </c>
      <c r="D2026" s="12" t="s">
        <v>2795</v>
      </c>
    </row>
    <row r="2027">
      <c r="A2027" s="5">
        <f>HYPERLINK("https://www.oit.va.gov/Services/TRM/ToolPage.aspx?tid=15667^","Carbon Black Application Control")</f>
      </c>
      <c r="B2027" s="4" t="s">
        <v>719</v>
      </c>
      <c r="C2027" s="9" t="s">
        <v>6</v>
      </c>
      <c r="D2027" s="12" t="s">
        <v>2796</v>
      </c>
    </row>
    <row r="2028">
      <c r="A2028" s="5">
        <f>HYPERLINK("https://www.oit.va.gov/Services/TRM/ToolPage.aspx?tid=14815^","CardExchange Producer")</f>
      </c>
      <c r="B2028" s="4" t="s">
        <v>2797</v>
      </c>
      <c r="C2028" s="9" t="s">
        <v>6</v>
      </c>
      <c r="D2028" s="12" t="s">
        <v>2798</v>
      </c>
    </row>
    <row r="2029">
      <c r="A2029" s="5">
        <f>HYPERLINK("https://www.oit.va.gov/Services/TRM/ToolPage.aspx?tid=15588^","CardImaging Software")</f>
      </c>
      <c r="B2029" s="4" t="s">
        <v>2799</v>
      </c>
      <c r="C2029" s="9" t="s">
        <v>6</v>
      </c>
      <c r="D2029" s="12" t="s">
        <v>2800</v>
      </c>
    </row>
    <row r="2030">
      <c r="A2030" s="5">
        <f>HYPERLINK("https://www.oit.va.gov/Services/TRM/ToolPage.aspx?tid=16508^","Cardinal Key")</f>
      </c>
      <c r="B2030" s="4" t="s">
        <v>2801</v>
      </c>
      <c r="C2030" s="9" t="s">
        <v>6</v>
      </c>
      <c r="D2030" s="12" t="s">
        <v>2802</v>
      </c>
    </row>
    <row r="2031">
      <c r="A2031" s="5">
        <f>HYPERLINK("https://www.oit.va.gov/Services/TRM/ToolPage.aspx?tid=14498^","CardioDay Holter Electrocardiogram (ECG)")</f>
      </c>
      <c r="B2031" s="4" t="s">
        <v>874</v>
      </c>
      <c r="C2031" s="9" t="s">
        <v>6</v>
      </c>
      <c r="D2031" s="12" t="s">
        <v>2687</v>
      </c>
    </row>
    <row r="2032">
      <c r="A2032" s="5">
        <f>HYPERLINK("https://www.oit.va.gov/Services/TRM/ToolPage.aspx?tid=6947^","CardioSoft Diagnostic System")</f>
      </c>
      <c r="B2032" s="4" t="s">
        <v>874</v>
      </c>
      <c r="C2032" s="9" t="s">
        <v>6</v>
      </c>
      <c r="D2032" s="12" t="s">
        <v>2803</v>
      </c>
    </row>
    <row r="2033">
      <c r="A2033" s="5">
        <f>HYPERLINK("https://www.oit.va.gov/Services/TRM/ToolPage.aspx?tid=9438^","Cardiovascular Orientation Program (CVOP)")</f>
      </c>
      <c r="B2033" s="4" t="s">
        <v>2804</v>
      </c>
      <c r="C2033" s="9" t="s">
        <v>6</v>
      </c>
      <c r="D2033" s="12" t="s">
        <v>1430</v>
      </c>
    </row>
    <row r="2034">
      <c r="A2034" s="5">
        <f>HYPERLINK("https://www.oit.va.gov/Services/TRM/ToolPage.aspx?tid=14060^","cardPresso")</f>
      </c>
      <c r="B2034" s="4" t="s">
        <v>2805</v>
      </c>
      <c r="C2034" s="9" t="s">
        <v>6</v>
      </c>
      <c r="D2034" s="12" t="s">
        <v>777</v>
      </c>
    </row>
    <row r="2035">
      <c r="A2035" s="5">
        <f>HYPERLINK("https://www.oit.va.gov/Services/TRM/ToolPage.aspx?tid=7805^","Care Transitions Portal")</f>
      </c>
      <c r="B2035" s="4" t="s">
        <v>2806</v>
      </c>
      <c r="C2035" s="9" t="s">
        <v>6</v>
      </c>
      <c r="D2035" s="12" t="s">
        <v>2807</v>
      </c>
    </row>
    <row r="2036">
      <c r="A2036" s="5">
        <f>HYPERLINK("https://www.oit.va.gov/Services/TRM/ToolPage.aspx?tid=15806^","Caregility Policy Server")</f>
      </c>
      <c r="B2036" s="4" t="s">
        <v>2808</v>
      </c>
      <c r="C2036" s="9" t="s">
        <v>6</v>
      </c>
      <c r="D2036" s="12" t="s">
        <v>2809</v>
      </c>
    </row>
    <row r="2037">
      <c r="A2037" s="5">
        <f>HYPERLINK("https://www.oit.va.gov/Services/TRM/ToolPage.aspx?tid=8690^","CareLink iPro Therapy Management Software")</f>
      </c>
      <c r="B2037" s="4" t="s">
        <v>2810</v>
      </c>
      <c r="C2037" s="9" t="s">
        <v>6</v>
      </c>
      <c r="D2037" s="12" t="s">
        <v>2811</v>
      </c>
    </row>
    <row r="2038">
      <c r="A2038" s="5">
        <f>HYPERLINK("https://www.oit.va.gov/Services/TRM/ToolPage.aspx?tid=5652^","CareLink Pro")</f>
      </c>
      <c r="B2038" s="4" t="s">
        <v>2810</v>
      </c>
      <c r="C2038" s="9" t="s">
        <v>6</v>
      </c>
      <c r="D2038" s="12" t="s">
        <v>176</v>
      </c>
    </row>
    <row r="2039">
      <c r="A2039" s="5">
        <f>HYPERLINK("https://www.oit.va.gov/Services/TRM/ToolPage.aspx?tid=14087^","CareLink Uploader")</f>
      </c>
      <c r="B2039" s="4" t="s">
        <v>1089</v>
      </c>
      <c r="C2039" s="9" t="s">
        <v>6</v>
      </c>
      <c r="D2039" s="12" t="s">
        <v>2812</v>
      </c>
    </row>
    <row r="2040">
      <c r="A2040" s="5">
        <f>HYPERLINK("https://www.oit.va.gov/Services/TRM/ToolPage.aspx?tid=16821^","CAREpoint")</f>
      </c>
      <c r="B2040" s="4" t="s">
        <v>2813</v>
      </c>
      <c r="C2040" s="9" t="s">
        <v>6</v>
      </c>
      <c r="D2040" s="12" t="s">
        <v>1258</v>
      </c>
    </row>
    <row r="2041">
      <c r="A2041" s="5">
        <f>HYPERLINK("https://www.oit.va.gov/Services/TRM/ToolPage.aspx?tid=16578^","CASTViz")</f>
      </c>
      <c r="B2041" s="4" t="s">
        <v>2814</v>
      </c>
      <c r="C2041" s="9" t="s">
        <v>6</v>
      </c>
      <c r="D2041" s="12" t="s">
        <v>2815</v>
      </c>
    </row>
    <row r="2042">
      <c r="A2042" s="5">
        <f>HYPERLINK("https://www.oit.va.gov/Services/TRM/ToolPage.aspx?tid=11315^","Catalyst Control Center")</f>
      </c>
      <c r="B2042" s="4" t="s">
        <v>2816</v>
      </c>
      <c r="C2042" s="9" t="s">
        <v>6</v>
      </c>
      <c r="D2042" s="12" t="s">
        <v>2817</v>
      </c>
    </row>
    <row r="2043">
      <c r="A2043" s="5">
        <f>HYPERLINK("https://www.oit.va.gov/Services/TRM/ToolPage.aspx?tid=14602^","CData Open Database Connectivity (ODBC) Driver for SharePoint")</f>
      </c>
      <c r="B2043" s="4" t="s">
        <v>2818</v>
      </c>
      <c r="C2043" s="9" t="s">
        <v>6</v>
      </c>
      <c r="D2043" s="12" t="s">
        <v>2819</v>
      </c>
    </row>
    <row r="2044">
      <c r="A2044" s="5">
        <f>HYPERLINK("https://www.oit.va.gov/Services/TRM/ToolPage.aspx?tid=15554^","Cellavision Transfer Tool")</f>
      </c>
      <c r="B2044" s="4" t="s">
        <v>2820</v>
      </c>
      <c r="C2044" s="9" t="s">
        <v>6</v>
      </c>
      <c r="D2044" s="12" t="s">
        <v>461</v>
      </c>
    </row>
    <row r="2045">
      <c r="A2045" s="5">
        <f>HYPERLINK("https://www.oit.va.gov/Services/TRM/ToolPage.aspx?tid=16249^","Celonis Agent")</f>
      </c>
      <c r="B2045" s="4" t="s">
        <v>2821</v>
      </c>
      <c r="C2045" s="9" t="s">
        <v>6</v>
      </c>
      <c r="D2045" s="12" t="s">
        <v>2822</v>
      </c>
    </row>
    <row r="2046">
      <c r="A2046" s="5">
        <f>HYPERLINK("https://www.oit.va.gov/Services/TRM/ToolPage.aspx?tid=15332^","CenTrak Prism")</f>
      </c>
      <c r="B2046" s="4" t="s">
        <v>870</v>
      </c>
      <c r="C2046" s="9" t="s">
        <v>6</v>
      </c>
      <c r="D2046" s="12" t="s">
        <v>872</v>
      </c>
    </row>
    <row r="2047">
      <c r="A2047" s="5">
        <f>HYPERLINK("https://www.oit.va.gov/Services/TRM/ToolPage.aspx?tid=15090^","Central Nervous System Vital Signs (CNSVS)")</f>
      </c>
      <c r="B2047" s="4" t="s">
        <v>2823</v>
      </c>
      <c r="C2047" s="9" t="s">
        <v>6</v>
      </c>
      <c r="D2047" s="12" t="s">
        <v>2824</v>
      </c>
    </row>
    <row r="2048">
      <c r="A2048" s="5">
        <f>HYPERLINK("https://www.oit.va.gov/Services/TRM/ToolPage.aspx?tid=9277^","CentreWare Web")</f>
      </c>
      <c r="B2048" s="4" t="s">
        <v>1635</v>
      </c>
      <c r="C2048" s="9" t="s">
        <v>6</v>
      </c>
      <c r="D2048" s="12" t="s">
        <v>2825</v>
      </c>
    </row>
    <row r="2049">
      <c r="A2049" s="5">
        <f>HYPERLINK("https://www.oit.va.gov/Services/TRM/ToolPage.aspx?tid=14831^","Ceribell Electroencephalography (EEG)")</f>
      </c>
      <c r="B2049" s="4" t="s">
        <v>2826</v>
      </c>
      <c r="C2049" s="9" t="s">
        <v>6</v>
      </c>
      <c r="D2049" s="12" t="s">
        <v>958</v>
      </c>
    </row>
    <row r="2050">
      <c r="A2050" s="5">
        <f>HYPERLINK("https://www.oit.va.gov/Services/TRM/ToolPage.aspx?tid=14376^","Cerner 724Access Downtime Viewer")</f>
      </c>
      <c r="B2050" s="4" t="s">
        <v>2827</v>
      </c>
      <c r="C2050" s="9" t="s">
        <v>6</v>
      </c>
      <c r="D2050" s="12" t="s">
        <v>2828</v>
      </c>
    </row>
    <row r="2051">
      <c r="A2051" s="5">
        <f>HYPERLINK("https://www.oit.va.gov/Services/TRM/ToolPage.aspx?tid=6461^","CFEngine Community")</f>
      </c>
      <c r="B2051" s="4" t="s">
        <v>2829</v>
      </c>
      <c r="C2051" s="9" t="s">
        <v>6</v>
      </c>
      <c r="D2051" s="12" t="s">
        <v>2314</v>
      </c>
    </row>
    <row r="2052">
      <c r="A2052" s="5">
        <f>HYPERLINK("https://www.oit.va.gov/Services/TRM/ToolPage.aspx?tid=7888^","Change Healthcare Radiology Solution")</f>
      </c>
      <c r="B2052" s="4" t="s">
        <v>585</v>
      </c>
      <c r="C2052" s="9" t="s">
        <v>6</v>
      </c>
      <c r="D2052" s="12" t="s">
        <v>2830</v>
      </c>
    </row>
    <row r="2053">
      <c r="A2053" s="5">
        <f>HYPERLINK("https://www.oit.va.gov/Services/TRM/ToolPage.aspx?tid=10087^","ChangeGear")</f>
      </c>
      <c r="B2053" s="4" t="s">
        <v>2831</v>
      </c>
      <c r="C2053" s="9" t="s">
        <v>6</v>
      </c>
      <c r="D2053" s="12" t="s">
        <v>2663</v>
      </c>
    </row>
    <row r="2054">
      <c r="A2054" s="5">
        <f>HYPERLINK("https://www.oit.va.gov/Services/TRM/ToolPage.aspx?tid=7491^","Cisco Finesse")</f>
      </c>
      <c r="B2054" s="4" t="s">
        <v>353</v>
      </c>
      <c r="C2054" s="9" t="s">
        <v>6</v>
      </c>
      <c r="D2054" s="12" t="s">
        <v>2724</v>
      </c>
    </row>
    <row r="2055">
      <c r="A2055" s="5">
        <f>HYPERLINK("https://www.oit.va.gov/Services/TRM/ToolPage.aspx?tid=8667^","Cisco Modeling Labs (CML) for Enterprise")</f>
      </c>
      <c r="B2055" s="4" t="s">
        <v>353</v>
      </c>
      <c r="C2055" s="9" t="s">
        <v>6</v>
      </c>
      <c r="D2055" s="12" t="s">
        <v>2779</v>
      </c>
    </row>
    <row r="2056">
      <c r="A2056" s="5">
        <f>HYPERLINK("https://www.oit.va.gov/Services/TRM/ToolPage.aspx?tid=10775^","Cisco Nexus Dashboard Fabric Controller")</f>
      </c>
      <c r="B2056" s="4" t="s">
        <v>353</v>
      </c>
      <c r="C2056" s="9" t="s">
        <v>6</v>
      </c>
      <c r="D2056" s="12" t="s">
        <v>2832</v>
      </c>
    </row>
    <row r="2057">
      <c r="A2057" s="5">
        <f>HYPERLINK("https://www.oit.va.gov/Services/TRM/ToolPage.aspx?tid=8827^","Cisco Unified Computing System (UCS) Central")</f>
      </c>
      <c r="B2057" s="4" t="s">
        <v>353</v>
      </c>
      <c r="C2057" s="9" t="s">
        <v>6</v>
      </c>
      <c r="D2057" s="12" t="s">
        <v>1292</v>
      </c>
    </row>
    <row r="2058">
      <c r="A2058" s="5">
        <f>HYPERLINK("https://www.oit.va.gov/Services/TRM/ToolPage.aspx?tid=8829^","Cisco Unified Contact Center Express (UCCX)")</f>
      </c>
      <c r="B2058" s="4" t="s">
        <v>353</v>
      </c>
      <c r="C2058" s="9" t="s">
        <v>6</v>
      </c>
      <c r="D2058" s="12" t="s">
        <v>1595</v>
      </c>
    </row>
    <row r="2059">
      <c r="A2059" s="5">
        <f>HYPERLINK("https://www.oit.va.gov/Services/TRM/ToolPage.aspx?tid=7492^","Cisco Unity Connection")</f>
      </c>
      <c r="B2059" s="4" t="s">
        <v>353</v>
      </c>
      <c r="C2059" s="9" t="s">
        <v>6</v>
      </c>
      <c r="D2059" s="12" t="s">
        <v>530</v>
      </c>
    </row>
    <row r="2060">
      <c r="A2060" s="5">
        <f>HYPERLINK("https://www.oit.va.gov/Services/TRM/ToolPage.aspx?tid=14723^","Citrix Application Delivery Management (ADM)")</f>
      </c>
      <c r="B2060" s="4" t="s">
        <v>515</v>
      </c>
      <c r="C2060" s="9" t="s">
        <v>6</v>
      </c>
      <c r="D2060" s="12" t="s">
        <v>2833</v>
      </c>
    </row>
    <row r="2061">
      <c r="A2061" s="5">
        <f>HYPERLINK("https://www.oit.va.gov/Services/TRM/ToolPage.aspx?tid=10742^","Citrix Gateway")</f>
      </c>
      <c r="B2061" s="4" t="s">
        <v>515</v>
      </c>
      <c r="C2061" s="9" t="s">
        <v>6</v>
      </c>
      <c r="D2061" s="12" t="s">
        <v>2834</v>
      </c>
    </row>
    <row r="2062">
      <c r="A2062" s="5">
        <f>HYPERLINK("https://www.oit.va.gov/Services/TRM/ToolPage.aspx?tid=10407^","Citrix Provisioning")</f>
      </c>
      <c r="B2062" s="4" t="s">
        <v>515</v>
      </c>
      <c r="C2062" s="9" t="s">
        <v>6</v>
      </c>
      <c r="D2062" s="12" t="s">
        <v>2835</v>
      </c>
    </row>
    <row r="2063">
      <c r="A2063" s="5">
        <f>HYPERLINK("https://www.oit.va.gov/Services/TRM/ToolPage.aspx?tid=14490^","Citrix Workspace")</f>
      </c>
      <c r="B2063" s="4" t="s">
        <v>515</v>
      </c>
      <c r="C2063" s="9" t="s">
        <v>6</v>
      </c>
      <c r="D2063" s="12" t="s">
        <v>38</v>
      </c>
    </row>
    <row r="2064">
      <c r="A2064" s="5">
        <f>HYPERLINK("https://www.oit.va.gov/Services/TRM/ToolPage.aspx?tid=15111^","CLAMP (Clinical Language Annotation, Modeling, and Processing) Toolkit")</f>
      </c>
      <c r="B2064" s="4" t="s">
        <v>2836</v>
      </c>
      <c r="C2064" s="9" t="s">
        <v>6</v>
      </c>
      <c r="D2064" s="12" t="s">
        <v>2837</v>
      </c>
    </row>
    <row r="2065">
      <c r="A2065" s="5">
        <f>HYPERLINK("https://www.oit.va.gov/Services/TRM/ToolPage.aspx?tid=8097^","Clearbox Enterprise RADIUS Server")</f>
      </c>
      <c r="B2065" s="4" t="s">
        <v>2838</v>
      </c>
      <c r="C2065" s="9" t="s">
        <v>6</v>
      </c>
      <c r="D2065" s="12" t="s">
        <v>2839</v>
      </c>
    </row>
    <row r="2066">
      <c r="A2066" s="5">
        <f>HYPERLINK("https://www.oit.va.gov/Services/TRM/ToolPage.aspx?tid=13824^","ClearPass OnGuard")</f>
      </c>
      <c r="B2066" s="4" t="s">
        <v>2840</v>
      </c>
      <c r="C2066" s="9" t="s">
        <v>6</v>
      </c>
      <c r="D2066" s="12" t="s">
        <v>2841</v>
      </c>
    </row>
    <row r="2067">
      <c r="A2067" s="5">
        <f>HYPERLINK("https://www.oit.va.gov/Services/TRM/ToolPage.aspx?tid=13259^","ClearRead CT")</f>
      </c>
      <c r="B2067" s="4" t="s">
        <v>2842</v>
      </c>
      <c r="C2067" s="9" t="s">
        <v>6</v>
      </c>
      <c r="D2067" s="12" t="s">
        <v>2843</v>
      </c>
    </row>
    <row r="2068">
      <c r="A2068" s="5">
        <f>HYPERLINK("https://www.oit.va.gov/Services/TRM/ToolPage.aspx?tid=9279^","Cleo Harmony")</f>
      </c>
      <c r="B2068" s="4" t="s">
        <v>1608</v>
      </c>
      <c r="C2068" s="9" t="s">
        <v>6</v>
      </c>
      <c r="D2068" s="12" t="s">
        <v>2844</v>
      </c>
    </row>
    <row r="2069">
      <c r="A2069" s="5">
        <f>HYPERLINK("https://www.oit.va.gov/Services/TRM/ToolPage.aspx?tid=15411^","ClickLearn")</f>
      </c>
      <c r="B2069" s="4" t="s">
        <v>2845</v>
      </c>
      <c r="C2069" s="9" t="s">
        <v>6</v>
      </c>
      <c r="D2069" s="12" t="s">
        <v>2846</v>
      </c>
    </row>
    <row r="2070">
      <c r="A2070" s="5">
        <f>HYPERLINK("https://www.oit.va.gov/Services/TRM/ToolPage.aspx?tid=15121^","ClickShare Extension Pack")</f>
      </c>
      <c r="B2070" s="4" t="s">
        <v>2847</v>
      </c>
      <c r="C2070" s="9" t="s">
        <v>6</v>
      </c>
      <c r="D2070" s="12" t="s">
        <v>2848</v>
      </c>
    </row>
    <row r="2071">
      <c r="A2071" s="5">
        <f>HYPERLINK("https://www.oit.va.gov/Services/TRM/ToolPage.aspx?tid=7764^","CliniComp")</f>
      </c>
      <c r="B2071" s="4" t="s">
        <v>2849</v>
      </c>
      <c r="C2071" s="9" t="s">
        <v>6</v>
      </c>
      <c r="D2071" s="12" t="s">
        <v>2850</v>
      </c>
    </row>
    <row r="2072">
      <c r="A2072" s="5">
        <f>HYPERLINK("https://www.oit.va.gov/Services/TRM/ToolPage.aspx?tid=15167^","CLIPS Full Terminal")</f>
      </c>
      <c r="B2072" s="4" t="s">
        <v>920</v>
      </c>
      <c r="C2072" s="9" t="s">
        <v>6</v>
      </c>
      <c r="D2072" s="12" t="s">
        <v>2851</v>
      </c>
    </row>
    <row r="2073">
      <c r="A2073" s="5">
        <f>HYPERLINK("https://www.oit.va.gov/Services/TRM/ToolPage.aspx?tid=11188^","CLIQ Connect")</f>
      </c>
      <c r="B2073" s="4" t="s">
        <v>2852</v>
      </c>
      <c r="C2073" s="9" t="s">
        <v>6</v>
      </c>
      <c r="D2073" s="12" t="s">
        <v>2853</v>
      </c>
    </row>
    <row r="2074">
      <c r="A2074" s="5">
        <f>HYPERLINK("https://www.oit.va.gov/Services/TRM/ToolPage.aspx?tid=14214^","CLIQ Web Manager")</f>
      </c>
      <c r="B2074" s="4" t="s">
        <v>2852</v>
      </c>
      <c r="C2074" s="9" t="s">
        <v>6</v>
      </c>
      <c r="D2074" s="12" t="s">
        <v>2854</v>
      </c>
    </row>
    <row r="2075">
      <c r="A2075" s="5">
        <f>HYPERLINK("https://www.oit.va.gov/Services/TRM/ToolPage.aspx?tid=16073^","Clockspring")</f>
      </c>
      <c r="B2075" s="4" t="s">
        <v>2855</v>
      </c>
      <c r="C2075" s="9" t="s">
        <v>6</v>
      </c>
      <c r="D2075" s="12" t="s">
        <v>2856</v>
      </c>
    </row>
    <row r="2076">
      <c r="A2076" s="5">
        <f>HYPERLINK("https://www.oit.va.gov/Services/TRM/ToolPage.aspx?tid=16569^","Cloud Maker Enterprise Server Solution")</f>
      </c>
      <c r="B2076" s="4" t="s">
        <v>2857</v>
      </c>
      <c r="C2076" s="9" t="s">
        <v>6</v>
      </c>
      <c r="D2076" s="12" t="s">
        <v>2858</v>
      </c>
    </row>
    <row r="2077">
      <c r="A2077" s="5">
        <f>HYPERLINK("https://www.oit.va.gov/Services/TRM/ToolPage.aspx?tid=9220^","CloudBees Core")</f>
      </c>
      <c r="B2077" s="4" t="s">
        <v>2859</v>
      </c>
      <c r="C2077" s="9" t="s">
        <v>6</v>
      </c>
      <c r="D2077" s="12" t="s">
        <v>2860</v>
      </c>
    </row>
    <row r="2078">
      <c r="A2078" s="5">
        <f>HYPERLINK("https://www.oit.va.gov/Services/TRM/ToolPage.aspx?tid=16828^","Cloudflare Turnstile")</f>
      </c>
      <c r="B2078" s="4" t="s">
        <v>2861</v>
      </c>
      <c r="C2078" s="9" t="s">
        <v>6</v>
      </c>
      <c r="D2078" s="12" t="s">
        <v>1390</v>
      </c>
    </row>
    <row r="2079">
      <c r="A2079" s="5">
        <f>HYPERLINK("https://www.oit.va.gov/Services/TRM/ToolPage.aspx?tid=16278^","Cloudockit")</f>
      </c>
      <c r="B2079" s="4" t="s">
        <v>2862</v>
      </c>
      <c r="C2079" s="9" t="s">
        <v>6</v>
      </c>
      <c r="D2079" s="12" t="s">
        <v>2388</v>
      </c>
    </row>
    <row r="2080">
      <c r="A2080" s="5">
        <f>HYPERLINK("https://www.oit.va.gov/Services/TRM/ToolPage.aspx?tid=16570^","cobas infinity Point of Care (POC) solution")</f>
      </c>
      <c r="B2080" s="4" t="s">
        <v>738</v>
      </c>
      <c r="C2080" s="9" t="s">
        <v>6</v>
      </c>
      <c r="D2080" s="12" t="s">
        <v>2781</v>
      </c>
    </row>
    <row r="2081">
      <c r="A2081" s="5">
        <f>HYPERLINK("https://www.oit.va.gov/Services/TRM/ToolPage.aspx?tid=16668^","Cockpit")</f>
      </c>
      <c r="B2081" s="4" t="s">
        <v>2863</v>
      </c>
      <c r="C2081" s="9" t="s">
        <v>6</v>
      </c>
      <c r="D2081" s="12" t="s">
        <v>2864</v>
      </c>
    </row>
    <row r="2082">
      <c r="A2082" s="5">
        <f>HYPERLINK("https://www.oit.va.gov/Services/TRM/ToolPage.aspx?tid=16037^","Code On Time")</f>
      </c>
      <c r="B2082" s="4" t="s">
        <v>2865</v>
      </c>
      <c r="C2082" s="9" t="s">
        <v>6</v>
      </c>
      <c r="D2082" s="12" t="s">
        <v>1795</v>
      </c>
    </row>
    <row r="2083">
      <c r="A2083" s="5">
        <f>HYPERLINK("https://www.oit.va.gov/Services/TRM/ToolPage.aspx?tid=7935^","CodeIgniter")</f>
      </c>
      <c r="B2083" s="4" t="s">
        <v>2866</v>
      </c>
      <c r="C2083" s="9" t="s">
        <v>6</v>
      </c>
      <c r="D2083" s="12" t="s">
        <v>939</v>
      </c>
    </row>
    <row r="2084">
      <c r="A2084" s="5">
        <f>HYPERLINK("https://www.oit.va.gov/Services/TRM/ToolPage.aspx?tid=15845^","Codename: The Bridge")</f>
      </c>
      <c r="B2084" s="4" t="s">
        <v>2867</v>
      </c>
      <c r="C2084" s="9" t="s">
        <v>6</v>
      </c>
      <c r="D2084" s="12" t="s">
        <v>858</v>
      </c>
    </row>
    <row r="2085">
      <c r="A2085" s="5">
        <f>HYPERLINK("https://www.oit.va.gov/Services/TRM/ToolPage.aspx?tid=7041^","CodeSource")</f>
      </c>
      <c r="B2085" s="4" t="s">
        <v>2868</v>
      </c>
      <c r="C2085" s="9" t="s">
        <v>6</v>
      </c>
      <c r="D2085" s="12" t="s">
        <v>2673</v>
      </c>
    </row>
    <row r="2086">
      <c r="A2086" s="5">
        <f>HYPERLINK("https://www.oit.va.gov/Services/TRM/ToolPage.aspx?tid=15178^","Coding and Reimbursement System Plus (CRS+)")</f>
      </c>
      <c r="B2086" s="4" t="s">
        <v>882</v>
      </c>
      <c r="C2086" s="9" t="s">
        <v>6</v>
      </c>
      <c r="D2086" s="12" t="s">
        <v>2869</v>
      </c>
    </row>
    <row r="2087">
      <c r="A2087" s="5">
        <f>HYPERLINK("https://www.oit.va.gov/Services/TRM/ToolPage.aspx?tid=9923^","Cogito Companion")</f>
      </c>
      <c r="B2087" s="4" t="s">
        <v>2870</v>
      </c>
      <c r="C2087" s="9" t="s">
        <v>6</v>
      </c>
      <c r="D2087" s="12" t="s">
        <v>2716</v>
      </c>
    </row>
    <row r="2088">
      <c r="A2088" s="5">
        <f>HYPERLINK("https://www.oit.va.gov/Services/TRM/ToolPage.aspx?tid=16305^","Cohesity Helios")</f>
      </c>
      <c r="B2088" s="4" t="s">
        <v>2871</v>
      </c>
      <c r="C2088" s="9" t="s">
        <v>6</v>
      </c>
      <c r="D2088" s="12" t="s">
        <v>2872</v>
      </c>
    </row>
    <row r="2089">
      <c r="A2089" s="5">
        <f>HYPERLINK("https://www.oit.va.gov/Services/TRM/ToolPage.aspx?tid=8653^","Collaborative Health Outcomes Information Registry (CHOIR)")</f>
      </c>
      <c r="B2089" s="4" t="s">
        <v>2873</v>
      </c>
      <c r="C2089" s="9" t="s">
        <v>6</v>
      </c>
      <c r="D2089" s="12" t="s">
        <v>2874</v>
      </c>
    </row>
    <row r="2090">
      <c r="A2090" s="5">
        <f>HYPERLINK("https://www.oit.va.gov/Services/TRM/ToolPage.aspx?tid=15905^","Collibra Data Lineage")</f>
      </c>
      <c r="B2090" s="4" t="s">
        <v>2875</v>
      </c>
      <c r="C2090" s="9" t="s">
        <v>6</v>
      </c>
      <c r="D2090" s="12" t="s">
        <v>530</v>
      </c>
    </row>
    <row r="2091">
      <c r="A2091" s="5">
        <f>HYPERLINK("https://www.oit.va.gov/Services/TRM/ToolPage.aspx?tid=16650^","Collibra Data Quality")</f>
      </c>
      <c r="B2091" s="4" t="s">
        <v>2875</v>
      </c>
      <c r="C2091" s="9" t="s">
        <v>6</v>
      </c>
      <c r="D2091" s="12" t="s">
        <v>2876</v>
      </c>
    </row>
    <row r="2092">
      <c r="A2092" s="5">
        <f>HYPERLINK("https://www.oit.va.gov/Services/TRM/ToolPage.aspx?tid=16651^","Collibra Edge")</f>
      </c>
      <c r="B2092" s="4" t="s">
        <v>2875</v>
      </c>
      <c r="C2092" s="9" t="s">
        <v>6</v>
      </c>
      <c r="D2092" s="12" t="s">
        <v>2877</v>
      </c>
    </row>
    <row r="2093">
      <c r="A2093" s="5">
        <f>HYPERLINK("https://www.oit.va.gov/Services/TRM/ToolPage.aspx?tid=10059^","Command 360")</f>
      </c>
      <c r="B2093" s="4" t="s">
        <v>2878</v>
      </c>
      <c r="C2093" s="9" t="s">
        <v>6</v>
      </c>
      <c r="D2093" s="12" t="s">
        <v>2879</v>
      </c>
    </row>
    <row r="2094">
      <c r="A2094" s="5">
        <f>HYPERLINK("https://www.oit.va.gov/Services/TRM/ToolPage.aspx?tid=16385^","CommandBox")</f>
      </c>
      <c r="B2094" s="4" t="s">
        <v>2880</v>
      </c>
      <c r="C2094" s="9" t="s">
        <v>6</v>
      </c>
      <c r="D2094" s="12" t="s">
        <v>2881</v>
      </c>
    </row>
    <row r="2095">
      <c r="A2095" s="5">
        <f>HYPERLINK("https://www.oit.va.gov/Services/TRM/ToolPage.aspx?tid=5917^","CommCell Console")</f>
      </c>
      <c r="B2095" s="4" t="s">
        <v>1655</v>
      </c>
      <c r="C2095" s="9" t="s">
        <v>6</v>
      </c>
      <c r="D2095" s="12" t="s">
        <v>477</v>
      </c>
    </row>
    <row r="2096">
      <c r="A2096" s="5">
        <f>HYPERLINK("https://www.oit.va.gov/Services/TRM/ToolPage.aspx?tid=6531^","CommonLook Clarity")</f>
      </c>
      <c r="B2096" s="4" t="s">
        <v>2882</v>
      </c>
      <c r="C2096" s="9" t="s">
        <v>6</v>
      </c>
      <c r="D2096" s="12" t="s">
        <v>1109</v>
      </c>
    </row>
    <row r="2097">
      <c r="A2097" s="5">
        <f>HYPERLINK("https://www.oit.va.gov/Services/TRM/ToolPage.aspx?tid=11598^","Communicator EXT")</f>
      </c>
      <c r="B2097" s="4" t="s">
        <v>2883</v>
      </c>
      <c r="C2097" s="9" t="s">
        <v>6</v>
      </c>
      <c r="D2097" s="12" t="s">
        <v>2884</v>
      </c>
    </row>
    <row r="2098">
      <c r="A2098" s="5">
        <f>HYPERLINK("https://www.oit.va.gov/Services/TRM/ToolPage.aspx?tid=14980^","Commvault ContentStore")</f>
      </c>
      <c r="B2098" s="4" t="s">
        <v>1655</v>
      </c>
      <c r="C2098" s="9" t="s">
        <v>6</v>
      </c>
      <c r="D2098" s="12" t="s">
        <v>2885</v>
      </c>
    </row>
    <row r="2099">
      <c r="A2099" s="5">
        <f>HYPERLINK("https://www.oit.va.gov/Services/TRM/ToolPage.aspx?tid=10348^","Commvault Windows File System iDataAgent")</f>
      </c>
      <c r="B2099" s="4" t="s">
        <v>1655</v>
      </c>
      <c r="C2099" s="9" t="s">
        <v>6</v>
      </c>
      <c r="D2099" s="12" t="s">
        <v>2886</v>
      </c>
    </row>
    <row r="2100">
      <c r="A2100" s="5">
        <f>HYPERLINK("https://www.oit.va.gov/Services/TRM/ToolPage.aspx?tid=15235^","Comprehensive Financial Investigative Solution (CFIS)")</f>
      </c>
      <c r="B2100" s="4" t="s">
        <v>2887</v>
      </c>
      <c r="C2100" s="9" t="s">
        <v>6</v>
      </c>
      <c r="D2100" s="12" t="s">
        <v>2888</v>
      </c>
    </row>
    <row r="2101">
      <c r="A2101" s="5">
        <f>HYPERLINK("https://www.oit.va.gov/Services/TRM/ToolPage.aspx?tid=7042^","Comprehensive Knowledge Archive Network (CKAN)")</f>
      </c>
      <c r="B2101" s="4" t="s">
        <v>2889</v>
      </c>
      <c r="C2101" s="9" t="s">
        <v>6</v>
      </c>
      <c r="D2101" s="12" t="s">
        <v>986</v>
      </c>
    </row>
    <row r="2102">
      <c r="A2102" s="5">
        <f>HYPERLINK("https://www.oit.va.gov/Services/TRM/ToolPage.aspx?tid=9560^","Computer Associates (CA) Integrated Database Management System (IDMS) Application Development System (ADS)")</f>
      </c>
      <c r="B2102" s="4" t="s">
        <v>347</v>
      </c>
      <c r="C2102" s="9" t="s">
        <v>6</v>
      </c>
      <c r="D2102" s="12" t="s">
        <v>2890</v>
      </c>
    </row>
    <row r="2103">
      <c r="A2103" s="5">
        <f>HYPERLINK("https://www.oit.va.gov/Services/TRM/ToolPage.aspx?tid=10960^","Computer Associates (CA) Technologies Workload Automation iDASH")</f>
      </c>
      <c r="B2103" s="4" t="s">
        <v>347</v>
      </c>
      <c r="C2103" s="9" t="s">
        <v>6</v>
      </c>
      <c r="D2103" s="12" t="s">
        <v>186</v>
      </c>
    </row>
    <row r="2104">
      <c r="A2104" s="5">
        <f>HYPERLINK("https://www.oit.va.gov/Services/TRM/ToolPage.aspx?tid=7260^","Computer Associates (CA) Unified Infrastructure Management (UIM)")</f>
      </c>
      <c r="B2104" s="4" t="s">
        <v>347</v>
      </c>
      <c r="C2104" s="9" t="s">
        <v>6</v>
      </c>
      <c r="D2104" s="12" t="s">
        <v>1808</v>
      </c>
    </row>
    <row r="2105">
      <c r="A2105" s="5">
        <f>HYPERLINK("https://www.oit.va.gov/Services/TRM/ToolPage.aspx?tid=8833^","Computer-Aided Management of Emergency Operations (CAMEO) Chemicals")</f>
      </c>
      <c r="B2105" s="4" t="s">
        <v>2891</v>
      </c>
      <c r="C2105" s="9" t="s">
        <v>6</v>
      </c>
      <c r="D2105" s="12" t="s">
        <v>1795</v>
      </c>
    </row>
    <row r="2106">
      <c r="A2106" s="5">
        <f>HYPERLINK("https://www.oit.va.gov/Services/TRM/ToolPage.aspx?tid=6414^","Confluence")</f>
      </c>
      <c r="B2106" s="4" t="s">
        <v>829</v>
      </c>
      <c r="C2106" s="9" t="s">
        <v>6</v>
      </c>
      <c r="D2106" s="12" t="s">
        <v>2892</v>
      </c>
    </row>
    <row r="2107">
      <c r="A2107" s="5">
        <f>HYPERLINK("https://www.oit.va.gov/Services/TRM/ToolPage.aspx?tid=15505^","ConnectAssure Technology")</f>
      </c>
      <c r="B2107" s="4" t="s">
        <v>758</v>
      </c>
      <c r="C2107" s="9" t="s">
        <v>6</v>
      </c>
      <c r="D2107" s="12" t="s">
        <v>2893</v>
      </c>
    </row>
    <row r="2108">
      <c r="A2108" s="5">
        <f>HYPERLINK("https://www.oit.va.gov/Services/TRM/ToolPage.aspx?tid=14487^","Connectome Workbench")</f>
      </c>
      <c r="B2108" s="4" t="s">
        <v>2894</v>
      </c>
      <c r="C2108" s="9" t="s">
        <v>6</v>
      </c>
      <c r="D2108" s="12" t="s">
        <v>2650</v>
      </c>
    </row>
    <row r="2109">
      <c r="A2109" s="5">
        <f>HYPERLINK("https://www.oit.va.gov/Services/TRM/ToolPage.aspx?tid=5923^","Connexx")</f>
      </c>
      <c r="B2109" s="4" t="s">
        <v>2895</v>
      </c>
      <c r="C2109" s="9" t="s">
        <v>6</v>
      </c>
      <c r="D2109" s="12" t="s">
        <v>2896</v>
      </c>
    </row>
    <row r="2110">
      <c r="A2110" s="5">
        <f>HYPERLINK("https://www.oit.va.gov/Services/TRM/ToolPage.aspx?tid=8592^","ConsoleWorks Server")</f>
      </c>
      <c r="B2110" s="4" t="s">
        <v>2897</v>
      </c>
      <c r="C2110" s="9" t="s">
        <v>6</v>
      </c>
      <c r="D2110" s="12" t="s">
        <v>2898</v>
      </c>
    </row>
    <row r="2111">
      <c r="A2111" s="5">
        <f>HYPERLINK("https://www.oit.va.gov/Services/TRM/ToolPage.aspx?tid=9638^","Controlled Substance Ordering System (CSOS) Order Management Client")</f>
      </c>
      <c r="B2111" s="4" t="s">
        <v>853</v>
      </c>
      <c r="C2111" s="9" t="s">
        <v>6</v>
      </c>
      <c r="D2111" s="12" t="s">
        <v>2899</v>
      </c>
    </row>
    <row r="2112">
      <c r="A2112" s="5">
        <f>HYPERLINK("https://www.oit.va.gov/Services/TRM/ToolPage.aspx?tid=8283^","ControlUp")</f>
      </c>
      <c r="B2112" s="4" t="s">
        <v>2900</v>
      </c>
      <c r="C2112" s="9" t="s">
        <v>6</v>
      </c>
      <c r="D2112" s="12" t="s">
        <v>2901</v>
      </c>
    </row>
    <row r="2113">
      <c r="A2113" s="5">
        <f>HYPERLINK("https://www.oit.va.gov/Services/TRM/ToolPage.aspx?tid=16592^","Convey")</f>
      </c>
      <c r="B2113" s="4" t="s">
        <v>2902</v>
      </c>
      <c r="C2113" s="9" t="s">
        <v>6</v>
      </c>
      <c r="D2113" s="12" t="s">
        <v>2903</v>
      </c>
    </row>
    <row r="2114">
      <c r="A2114" s="5">
        <f>HYPERLINK("https://www.oit.va.gov/Services/TRM/ToolPage.aspx?tid=15529^","CopTrax Command and Control Dashboard")</f>
      </c>
      <c r="B2114" s="4" t="s">
        <v>2904</v>
      </c>
      <c r="C2114" s="9" t="s">
        <v>6</v>
      </c>
      <c r="D2114" s="12" t="s">
        <v>1808</v>
      </c>
    </row>
    <row r="2115">
      <c r="A2115" s="5">
        <f>HYPERLINK("https://www.oit.va.gov/Services/TRM/ToolPage.aspx?tid=15931^","CopyStorm")</f>
      </c>
      <c r="B2115" s="4" t="s">
        <v>2905</v>
      </c>
      <c r="C2115" s="9" t="s">
        <v>6</v>
      </c>
      <c r="D2115" s="12" t="s">
        <v>755</v>
      </c>
    </row>
    <row r="2116">
      <c r="A2116" s="5">
        <f>HYPERLINK("https://www.oit.va.gov/Services/TRM/ToolPage.aspx?tid=15547^","Corel AfterShot")</f>
      </c>
      <c r="B2116" s="4" t="s">
        <v>2360</v>
      </c>
      <c r="C2116" s="9" t="s">
        <v>6</v>
      </c>
      <c r="D2116" s="12" t="s">
        <v>2906</v>
      </c>
    </row>
    <row r="2117">
      <c r="A2117" s="5">
        <f>HYPERLINK("https://www.oit.va.gov/Services/TRM/ToolPage.aspx?tid=14799^","Cornerstone Managed File Transfer (MFT) Server")</f>
      </c>
      <c r="B2117" s="4" t="s">
        <v>2907</v>
      </c>
      <c r="C2117" s="9" t="s">
        <v>6</v>
      </c>
      <c r="D2117" s="12" t="s">
        <v>2908</v>
      </c>
    </row>
    <row r="2118">
      <c r="A2118" s="5">
        <f>HYPERLINK("https://www.oit.va.gov/Services/TRM/ToolPage.aspx?tid=16662^","COZYROC")</f>
      </c>
      <c r="B2118" s="4" t="s">
        <v>2909</v>
      </c>
      <c r="C2118" s="9" t="s">
        <v>6</v>
      </c>
      <c r="D2118" s="12" t="s">
        <v>2910</v>
      </c>
    </row>
    <row r="2119">
      <c r="A2119" s="5">
        <f>HYPERLINK("https://www.oit.va.gov/Services/TRM/ToolPage.aspx?tid=14682^","Crestron Fusion")</f>
      </c>
      <c r="B2119" s="4" t="s">
        <v>2639</v>
      </c>
      <c r="C2119" s="9" t="s">
        <v>6</v>
      </c>
      <c r="D2119" s="12" t="s">
        <v>2911</v>
      </c>
    </row>
    <row r="2120">
      <c r="A2120" s="5">
        <f>HYPERLINK("https://www.oit.va.gov/Services/TRM/ToolPage.aspx?tid=16145^","Cribl Stream")</f>
      </c>
      <c r="B2120" s="4" t="s">
        <v>2912</v>
      </c>
      <c r="C2120" s="9" t="s">
        <v>6</v>
      </c>
      <c r="D2120" s="12" t="s">
        <v>2913</v>
      </c>
    </row>
    <row r="2121">
      <c r="A2121" s="5">
        <f>HYPERLINK("https://www.oit.va.gov/Services/TRM/ToolPage.aspx?tid=16235^","Critical Power Management System")</f>
      </c>
      <c r="B2121" s="4" t="s">
        <v>2914</v>
      </c>
      <c r="C2121" s="9" t="s">
        <v>6</v>
      </c>
      <c r="D2121" s="12" t="s">
        <v>2915</v>
      </c>
    </row>
    <row r="2122">
      <c r="A2122" s="5">
        <f>HYPERLINK("https://www.oit.va.gov/Services/TRM/ToolPage.aspx?tid=16516^","Crowdstrike Falcon Sensor")</f>
      </c>
      <c r="B2122" s="4" t="s">
        <v>2916</v>
      </c>
      <c r="C2122" s="9" t="s">
        <v>6</v>
      </c>
      <c r="D2122" s="12" t="s">
        <v>2917</v>
      </c>
    </row>
    <row r="2123">
      <c r="A2123" s="5">
        <f>HYPERLINK("https://www.oit.va.gov/Services/TRM/ToolPage.aspx?tid=6540^","Crucible")</f>
      </c>
      <c r="B2123" s="4" t="s">
        <v>829</v>
      </c>
      <c r="C2123" s="9" t="s">
        <v>6</v>
      </c>
      <c r="D2123" s="12" t="s">
        <v>2918</v>
      </c>
    </row>
    <row r="2124">
      <c r="A2124" s="5">
        <f>HYPERLINK("https://www.oit.va.gov/Services/TRM/ToolPage.aspx?tid=8994^","CS Imaging")</f>
      </c>
      <c r="B2124" s="4" t="s">
        <v>2919</v>
      </c>
      <c r="C2124" s="9" t="s">
        <v>6</v>
      </c>
      <c r="D2124" s="12" t="s">
        <v>2920</v>
      </c>
    </row>
    <row r="2125">
      <c r="A2125" s="5">
        <f>HYPERLINK("https://www.oit.va.gov/Services/TRM/ToolPage.aspx?tid=5934^","Customer Experience Management (CXM) Media")</f>
      </c>
      <c r="B2125" s="4" t="s">
        <v>2921</v>
      </c>
      <c r="C2125" s="9" t="s">
        <v>6</v>
      </c>
      <c r="D2125" s="12" t="s">
        <v>147</v>
      </c>
    </row>
    <row r="2126">
      <c r="A2126" s="5">
        <f>HYPERLINK("https://www.oit.va.gov/Services/TRM/ToolPage.aspx?tid=13844^","CXone")</f>
      </c>
      <c r="B2126" s="4" t="s">
        <v>1280</v>
      </c>
      <c r="C2126" s="9" t="s">
        <v>6</v>
      </c>
      <c r="D2126" s="12" t="s">
        <v>2922</v>
      </c>
    </row>
    <row r="2127">
      <c r="A2127" s="5">
        <f>HYPERLINK("https://www.oit.va.gov/Services/TRM/ToolPage.aspx?tid=16371^","CyberArk Privileged Session Manager (PSM) Client")</f>
      </c>
      <c r="B2127" s="4" t="s">
        <v>2923</v>
      </c>
      <c r="C2127" s="9" t="s">
        <v>6</v>
      </c>
      <c r="D2127" s="12" t="s">
        <v>2924</v>
      </c>
    </row>
    <row r="2128">
      <c r="A2128" s="5">
        <f>HYPERLINK("https://www.oit.va.gov/Services/TRM/ToolPage.aspx?tid=15258^","CyberArk xRay Agent")</f>
      </c>
      <c r="B2128" s="4" t="s">
        <v>2923</v>
      </c>
      <c r="C2128" s="9" t="s">
        <v>6</v>
      </c>
      <c r="D2128" s="12" t="s">
        <v>2925</v>
      </c>
    </row>
    <row r="2129">
      <c r="A2129" s="5">
        <f>HYPERLINK("https://www.oit.va.gov/Services/TRM/ToolPage.aspx?tid=8098^","CyberLink YouCam")</f>
      </c>
      <c r="B2129" s="4" t="s">
        <v>659</v>
      </c>
      <c r="C2129" s="9" t="s">
        <v>6</v>
      </c>
      <c r="D2129" s="12" t="s">
        <v>2926</v>
      </c>
    </row>
    <row r="2130">
      <c r="A2130" s="5">
        <f>HYPERLINK("https://www.oit.va.gov/Services/TRM/ToolPage.aspx?tid=8624^","Dalet Galaxy Five")</f>
      </c>
      <c r="B2130" s="4" t="s">
        <v>2927</v>
      </c>
      <c r="C2130" s="9" t="s">
        <v>6</v>
      </c>
      <c r="D2130" s="12" t="s">
        <v>2928</v>
      </c>
    </row>
    <row r="2131">
      <c r="A2131" s="5">
        <f>HYPERLINK("https://www.oit.va.gov/Services/TRM/ToolPage.aspx?tid=10441^","Dapper")</f>
      </c>
      <c r="B2131" s="4" t="s">
        <v>2929</v>
      </c>
      <c r="C2131" s="9" t="s">
        <v>6</v>
      </c>
      <c r="D2131" s="12" t="s">
        <v>2930</v>
      </c>
    </row>
    <row r="2132">
      <c r="A2132" s="5">
        <f>HYPERLINK("https://www.oit.va.gov/Services/TRM/ToolPage.aspx?tid=10905^","Data Center Infrastructure Management (DCIM) Software Suite")</f>
      </c>
      <c r="B2132" s="4" t="s">
        <v>2931</v>
      </c>
      <c r="C2132" s="9" t="s">
        <v>6</v>
      </c>
      <c r="D2132" s="12" t="s">
        <v>2932</v>
      </c>
    </row>
    <row r="2133">
      <c r="A2133" s="5">
        <f>HYPERLINK("https://www.oit.va.gov/Services/TRM/ToolPage.aspx?tid=6952^","DatabaseSpy")</f>
      </c>
      <c r="B2133" s="4" t="s">
        <v>973</v>
      </c>
      <c r="C2133" s="9" t="s">
        <v>6</v>
      </c>
      <c r="D2133" s="12" t="s">
        <v>2933</v>
      </c>
    </row>
    <row r="2134">
      <c r="A2134" s="5">
        <f>HYPERLINK("https://www.oit.va.gov/Services/TRM/ToolPage.aspx?tid=16521^","Datadog Agent")</f>
      </c>
      <c r="B2134" s="4" t="s">
        <v>2934</v>
      </c>
      <c r="C2134" s="9" t="s">
        <v>6</v>
      </c>
      <c r="D2134" s="12" t="s">
        <v>2935</v>
      </c>
    </row>
    <row r="2135">
      <c r="A2135" s="5">
        <f>HYPERLINK("https://www.oit.va.gov/Services/TRM/ToolPage.aspx?tid=16522^","Datadog Private Locations")</f>
      </c>
      <c r="B2135" s="4" t="s">
        <v>2934</v>
      </c>
      <c r="C2135" s="9" t="s">
        <v>6</v>
      </c>
      <c r="D2135" s="12" t="s">
        <v>2936</v>
      </c>
    </row>
    <row r="2136">
      <c r="A2136" s="5">
        <f>HYPERLINK("https://www.oit.va.gov/Services/TRM/ToolPage.aspx?tid=15754^","DataGrip")</f>
      </c>
      <c r="B2136" s="4" t="s">
        <v>671</v>
      </c>
      <c r="C2136" s="9" t="s">
        <v>6</v>
      </c>
      <c r="D2136" s="12" t="s">
        <v>2937</v>
      </c>
    </row>
    <row r="2137">
      <c r="A2137" s="5">
        <f>HYPERLINK("https://www.oit.va.gov/Services/TRM/ToolPage.aspx?tid=15876^","DataPaq")</f>
      </c>
      <c r="B2137" s="4" t="s">
        <v>2938</v>
      </c>
      <c r="C2137" s="9" t="s">
        <v>6</v>
      </c>
      <c r="D2137" s="12" t="s">
        <v>755</v>
      </c>
    </row>
    <row r="2138">
      <c r="A2138" s="5">
        <f>HYPERLINK("https://www.oit.va.gov/Services/TRM/ToolPage.aspx?tid=6377^","DataPower Gateway")</f>
      </c>
      <c r="B2138" s="4" t="s">
        <v>233</v>
      </c>
      <c r="C2138" s="9" t="s">
        <v>6</v>
      </c>
      <c r="D2138" s="12" t="s">
        <v>2939</v>
      </c>
    </row>
    <row r="2139">
      <c r="A2139" s="5">
        <f>HYPERLINK("https://www.oit.va.gov/Services/TRM/ToolPage.aspx?tid=15670^","DataRay Photo MedBand")</f>
      </c>
      <c r="B2139" s="4" t="s">
        <v>2940</v>
      </c>
      <c r="C2139" s="9" t="s">
        <v>6</v>
      </c>
      <c r="D2139" s="12" t="s">
        <v>2941</v>
      </c>
    </row>
    <row r="2140">
      <c r="A2140" s="5">
        <f>HYPERLINK("https://www.oit.va.gov/Services/TRM/ToolPage.aspx?tid=7155^","DatStat Illume Next")</f>
      </c>
      <c r="B2140" s="4" t="s">
        <v>2942</v>
      </c>
      <c r="C2140" s="9" t="s">
        <v>6</v>
      </c>
      <c r="D2140" s="12" t="s">
        <v>2943</v>
      </c>
    </row>
    <row r="2141">
      <c r="A2141" s="5">
        <f>HYPERLINK("https://www.oit.va.gov/Services/TRM/ToolPage.aspx?tid=16623^","Decision Precision+")</f>
      </c>
      <c r="B2141" s="4" t="s">
        <v>2944</v>
      </c>
      <c r="C2141" s="9" t="s">
        <v>6</v>
      </c>
      <c r="D2141" s="12" t="s">
        <v>2945</v>
      </c>
    </row>
    <row r="2142">
      <c r="A2142" s="5">
        <f>HYPERLINK("https://www.oit.va.gov/Services/TRM/ToolPage.aspx?tid=16374^","Deep Learning Toolbox")</f>
      </c>
      <c r="B2142" s="4" t="s">
        <v>1105</v>
      </c>
      <c r="C2142" s="9" t="s">
        <v>6</v>
      </c>
      <c r="D2142" s="12" t="s">
        <v>2946</v>
      </c>
    </row>
    <row r="2143">
      <c r="A2143" s="5">
        <f>HYPERLINK("https://www.oit.va.gov/Services/TRM/ToolPage.aspx?tid=6532^","DefendX Control")</f>
      </c>
      <c r="B2143" s="4" t="s">
        <v>2947</v>
      </c>
      <c r="C2143" s="9" t="s">
        <v>6</v>
      </c>
      <c r="D2143" s="12" t="s">
        <v>2948</v>
      </c>
    </row>
    <row r="2144">
      <c r="A2144" s="5">
        <f>HYPERLINK("https://www.oit.va.gov/Services/TRM/ToolPage.aspx?tid=14304^","Defense Medical Logistics Standard Support (DMLSS) Client")</f>
      </c>
      <c r="B2144" s="4" t="s">
        <v>2949</v>
      </c>
      <c r="C2144" s="9" t="s">
        <v>6</v>
      </c>
      <c r="D2144" s="12" t="s">
        <v>2899</v>
      </c>
    </row>
    <row r="2145">
      <c r="A2145" s="5">
        <f>HYPERLINK("https://www.oit.va.gov/Services/TRM/ToolPage.aspx?tid=16872^","Deister Electronics Commander")</f>
      </c>
      <c r="B2145" s="4" t="s">
        <v>2950</v>
      </c>
      <c r="C2145" s="9" t="s">
        <v>6</v>
      </c>
      <c r="D2145" s="12" t="s">
        <v>20</v>
      </c>
    </row>
    <row r="2146">
      <c r="A2146" s="5">
        <f>HYPERLINK("https://www.oit.va.gov/Services/TRM/ToolPage.aspx?tid=10442^","Dell Adaptivity Platform")</f>
      </c>
      <c r="B2146" s="4" t="s">
        <v>185</v>
      </c>
      <c r="C2146" s="9" t="s">
        <v>6</v>
      </c>
      <c r="D2146" s="12" t="s">
        <v>2951</v>
      </c>
    </row>
    <row r="2147">
      <c r="A2147" s="5">
        <f>HYPERLINK("https://www.oit.va.gov/Services/TRM/ToolPage.aspx?tid=12945^","Dell EMC Grab for ESXi")</f>
      </c>
      <c r="B2147" s="4" t="s">
        <v>185</v>
      </c>
      <c r="C2147" s="9" t="s">
        <v>6</v>
      </c>
      <c r="D2147" s="12" t="s">
        <v>1902</v>
      </c>
    </row>
    <row r="2148">
      <c r="A2148" s="5">
        <f>HYPERLINK("https://www.oit.va.gov/Services/TRM/ToolPage.aspx?tid=6586^","Dell Storage Manager")</f>
      </c>
      <c r="B2148" s="4" t="s">
        <v>68</v>
      </c>
      <c r="C2148" s="9" t="s">
        <v>6</v>
      </c>
      <c r="D2148" s="12" t="s">
        <v>1011</v>
      </c>
    </row>
    <row r="2149">
      <c r="A2149" s="5">
        <f>HYPERLINK("https://www.oit.va.gov/Services/TRM/ToolPage.aspx?tid=16479^","Dell SupportAssist")</f>
      </c>
      <c r="B2149" s="4" t="s">
        <v>68</v>
      </c>
      <c r="C2149" s="9" t="s">
        <v>6</v>
      </c>
      <c r="D2149" s="12" t="s">
        <v>2952</v>
      </c>
    </row>
    <row r="2150">
      <c r="A2150" s="5">
        <f>HYPERLINK("https://www.oit.va.gov/Services/TRM/ToolPage.aspx?tid=11424^","Dell Wyse Management Suite (WMS)")</f>
      </c>
      <c r="B2150" s="4" t="s">
        <v>68</v>
      </c>
      <c r="C2150" s="9" t="s">
        <v>6</v>
      </c>
      <c r="D2150" s="12" t="s">
        <v>2953</v>
      </c>
    </row>
    <row r="2151">
      <c r="A2151" s="5">
        <f>HYPERLINK("https://www.oit.va.gov/Services/TRM/ToolPage.aspx?tid=8221^","Dementia Rating Scale-2 (DRS-2)")</f>
      </c>
      <c r="B2151" s="4" t="s">
        <v>2954</v>
      </c>
      <c r="C2151" s="9" t="s">
        <v>6</v>
      </c>
      <c r="D2151" s="12" t="s">
        <v>2955</v>
      </c>
    </row>
    <row r="2152">
      <c r="A2152" s="5">
        <f>HYPERLINK("https://www.oit.va.gov/Services/TRM/ToolPage.aspx?tid=6896^","Denodo Platform")</f>
      </c>
      <c r="B2152" s="4" t="s">
        <v>2956</v>
      </c>
      <c r="C2152" s="9" t="s">
        <v>6</v>
      </c>
      <c r="D2152" s="12" t="s">
        <v>2957</v>
      </c>
    </row>
    <row r="2153">
      <c r="A2153" s="5">
        <f>HYPERLINK("https://www.oit.va.gov/Services/TRM/ToolPage.aspx?tid=15283^","DermoSight Software")</f>
      </c>
      <c r="B2153" s="4" t="s">
        <v>2958</v>
      </c>
      <c r="C2153" s="9" t="s">
        <v>6</v>
      </c>
      <c r="D2153" s="12" t="s">
        <v>2959</v>
      </c>
    </row>
    <row r="2154">
      <c r="A2154" s="5">
        <f>HYPERLINK("https://www.oit.va.gov/Services/TRM/ToolPage.aspx?tid=10137^","DesignPro Tools")</f>
      </c>
      <c r="B2154" s="4" t="s">
        <v>1635</v>
      </c>
      <c r="C2154" s="9" t="s">
        <v>6</v>
      </c>
      <c r="D2154" s="12" t="s">
        <v>2960</v>
      </c>
    </row>
    <row r="2155">
      <c r="A2155" s="5">
        <f>HYPERLINK("https://www.oit.va.gov/Services/TRM/ToolPage.aspx?tid=9253^","Dexcom Clarity")</f>
      </c>
      <c r="B2155" s="4" t="s">
        <v>2961</v>
      </c>
      <c r="C2155" s="9" t="s">
        <v>6</v>
      </c>
      <c r="D2155" s="12" t="s">
        <v>2962</v>
      </c>
    </row>
    <row r="2156">
      <c r="A2156" s="5">
        <f>HYPERLINK("https://www.oit.va.gov/Services/TRM/ToolPage.aspx?tid=13823^","Dexcom Web Uploader Agent")</f>
      </c>
      <c r="B2156" s="4" t="s">
        <v>2961</v>
      </c>
      <c r="C2156" s="9" t="s">
        <v>6</v>
      </c>
      <c r="D2156" s="12" t="s">
        <v>2634</v>
      </c>
    </row>
    <row r="2157">
      <c r="A2157" s="5">
        <f>HYPERLINK("https://www.oit.va.gov/Services/TRM/ToolPage.aspx?tid=6953^","DFDiscover")</f>
      </c>
      <c r="B2157" s="4" t="s">
        <v>2963</v>
      </c>
      <c r="C2157" s="9" t="s">
        <v>6</v>
      </c>
      <c r="D2157" s="12" t="s">
        <v>2964</v>
      </c>
    </row>
    <row r="2158">
      <c r="A2158" s="5">
        <f>HYPERLINK("https://www.oit.va.gov/Services/TRM/ToolPage.aspx?tid=9238^","DIApedia Patient Information Capture (PIC)")</f>
      </c>
      <c r="B2158" s="4" t="s">
        <v>2965</v>
      </c>
      <c r="C2158" s="9" t="s">
        <v>6</v>
      </c>
      <c r="D2158" s="12" t="s">
        <v>2966</v>
      </c>
    </row>
    <row r="2159">
      <c r="A2159" s="5">
        <f>HYPERLINK("https://www.oit.va.gov/Services/TRM/ToolPage.aspx?tid=9195^","DicksonWare")</f>
      </c>
      <c r="B2159" s="4" t="s">
        <v>2967</v>
      </c>
      <c r="C2159" s="9" t="s">
        <v>6</v>
      </c>
      <c r="D2159" s="12" t="s">
        <v>1855</v>
      </c>
    </row>
    <row r="2160">
      <c r="A2160" s="5">
        <f>HYPERLINK("https://www.oit.va.gov/Services/TRM/ToolPage.aspx?tid=9933^","Diet*Calc")</f>
      </c>
      <c r="B2160" s="4" t="s">
        <v>1078</v>
      </c>
      <c r="C2160" s="9" t="s">
        <v>6</v>
      </c>
      <c r="D2160" s="12" t="s">
        <v>190</v>
      </c>
    </row>
    <row r="2161">
      <c r="A2161" s="5">
        <f>HYPERLINK("https://www.oit.va.gov/Services/TRM/ToolPage.aspx?tid=15649^","Digital Imaging and Communications in Medicine (DICOM DMC - EZ)")</f>
      </c>
      <c r="B2161" s="4" t="s">
        <v>2968</v>
      </c>
      <c r="C2161" s="9" t="s">
        <v>6</v>
      </c>
      <c r="D2161" s="12" t="s">
        <v>1766</v>
      </c>
    </row>
    <row r="2162">
      <c r="A2162" s="5">
        <f>HYPERLINK("https://www.oit.va.gov/Services/TRM/ToolPage.aspx?tid=15726^","Digital Intern")</f>
      </c>
      <c r="B2162" s="4" t="s">
        <v>2969</v>
      </c>
      <c r="C2162" s="9" t="s">
        <v>6</v>
      </c>
      <c r="D2162" s="12" t="s">
        <v>813</v>
      </c>
    </row>
    <row r="2163">
      <c r="A2163" s="5">
        <f>HYPERLINK("https://www.oit.va.gov/Services/TRM/ToolPage.aspx?tid=15446^","DirectControl")</f>
      </c>
      <c r="B2163" s="4" t="s">
        <v>2970</v>
      </c>
      <c r="C2163" s="9" t="s">
        <v>6</v>
      </c>
      <c r="D2163" s="12" t="s">
        <v>2971</v>
      </c>
    </row>
    <row r="2164">
      <c r="A2164" s="5">
        <f>HYPERLINK("https://www.oit.va.gov/Services/TRM/ToolPage.aspx?tid=15316^","Discharge 1-2-3 Composer Edition Software")</f>
      </c>
      <c r="B2164" s="4" t="s">
        <v>2972</v>
      </c>
      <c r="C2164" s="9" t="s">
        <v>6</v>
      </c>
      <c r="D2164" s="12" t="s">
        <v>2973</v>
      </c>
    </row>
    <row r="2165">
      <c r="A2165" s="5">
        <f>HYPERLINK("https://www.oit.va.gov/Services/TRM/ToolPage.aspx?tid=15295^","Disco Process Mining")</f>
      </c>
      <c r="B2165" s="4" t="s">
        <v>2974</v>
      </c>
      <c r="C2165" s="9" t="s">
        <v>6</v>
      </c>
      <c r="D2165" s="12" t="s">
        <v>2975</v>
      </c>
    </row>
    <row r="2166">
      <c r="A2166" s="5">
        <f>HYPERLINK("https://www.oit.va.gov/Services/TRM/ToolPage.aspx?tid=11777^","Dispen-SI-Matic Picking Director Software")</f>
      </c>
      <c r="B2166" s="4" t="s">
        <v>2976</v>
      </c>
      <c r="C2166" s="9" t="s">
        <v>6</v>
      </c>
      <c r="D2166" s="12" t="s">
        <v>2977</v>
      </c>
    </row>
    <row r="2167">
      <c r="A2167" s="5">
        <f>HYPERLINK("https://www.oit.va.gov/Services/TRM/ToolPage.aspx?tid=11557^","Distributed Network Architecture (DNA) Fusion")</f>
      </c>
      <c r="B2167" s="4" t="s">
        <v>2978</v>
      </c>
      <c r="C2167" s="9" t="s">
        <v>6</v>
      </c>
      <c r="D2167" s="12" t="s">
        <v>2979</v>
      </c>
    </row>
    <row r="2168">
      <c r="A2168" s="5">
        <f>HYPERLINK("https://www.oit.va.gov/Services/TRM/ToolPage.aspx?tid=7725^","Document Storage System (DSS) Above PAR (APAR)")</f>
      </c>
      <c r="B2168" s="4" t="s">
        <v>294</v>
      </c>
      <c r="C2168" s="9" t="s">
        <v>6</v>
      </c>
      <c r="D2168" s="12" t="s">
        <v>2648</v>
      </c>
    </row>
    <row r="2169">
      <c r="A2169" s="5">
        <f>HYPERLINK("https://www.oit.va.gov/Services/TRM/ToolPage.aspx?tid=8602^","Document Storage Systems (DSS) Clinical Note Templates (CNT) Plus")</f>
      </c>
      <c r="B2169" s="4" t="s">
        <v>294</v>
      </c>
      <c r="C2169" s="9" t="s">
        <v>6</v>
      </c>
      <c r="D2169" s="12" t="s">
        <v>2643</v>
      </c>
    </row>
    <row r="2170">
      <c r="A2170" s="5">
        <f>HYPERLINK("https://www.oit.va.gov/Services/TRM/ToolPage.aspx?tid=15262^","Document Storage Systems (DSS) Diasyst")</f>
      </c>
      <c r="B2170" s="4" t="s">
        <v>294</v>
      </c>
      <c r="C2170" s="9" t="s">
        <v>6</v>
      </c>
      <c r="D2170" s="12" t="s">
        <v>2980</v>
      </c>
    </row>
    <row r="2171">
      <c r="A2171" s="5">
        <f>HYPERLINK("https://www.oit.va.gov/Services/TRM/ToolPage.aspx?tid=12996^","Document Storage Systems (DSS) Face2Face Manager")</f>
      </c>
      <c r="B2171" s="4" t="s">
        <v>294</v>
      </c>
      <c r="C2171" s="9" t="s">
        <v>6</v>
      </c>
      <c r="D2171" s="12" t="s">
        <v>2981</v>
      </c>
    </row>
    <row r="2172">
      <c r="A2172" s="5">
        <f>HYPERLINK("https://www.oit.va.gov/Services/TRM/ToolPage.aspx?tid=9450^","Document Storage Systems (DSS) Integration Framework")</f>
      </c>
      <c r="B2172" s="4" t="s">
        <v>294</v>
      </c>
      <c r="C2172" s="9" t="s">
        <v>6</v>
      </c>
      <c r="D2172" s="12" t="s">
        <v>2925</v>
      </c>
    </row>
    <row r="2173">
      <c r="A2173" s="5">
        <f>HYPERLINK("https://www.oit.va.gov/Services/TRM/ToolPage.aspx?tid=15470^","Document Storage Systems, Inc (DSS) RxTracker")</f>
      </c>
      <c r="B2173" s="4" t="s">
        <v>294</v>
      </c>
      <c r="C2173" s="9" t="s">
        <v>6</v>
      </c>
      <c r="D2173" s="12" t="s">
        <v>2982</v>
      </c>
    </row>
    <row r="2174">
      <c r="A2174" s="5">
        <f>HYPERLINK("https://www.oit.va.gov/Services/TRM/ToolPage.aspx?tid=15979^","DocuSign Public Key Infrastructure (PKI)")</f>
      </c>
      <c r="B2174" s="4" t="s">
        <v>1922</v>
      </c>
      <c r="C2174" s="9" t="s">
        <v>6</v>
      </c>
      <c r="D2174" s="12" t="s">
        <v>2983</v>
      </c>
    </row>
    <row r="2175">
      <c r="A2175" s="5">
        <f>HYPERLINK("https://www.oit.va.gov/Services/TRM/ToolPage.aspx?tid=16624^","DocuSign Retrieve")</f>
      </c>
      <c r="B2175" s="4" t="s">
        <v>1922</v>
      </c>
      <c r="C2175" s="9" t="s">
        <v>6</v>
      </c>
      <c r="D2175" s="12" t="s">
        <v>2984</v>
      </c>
    </row>
    <row r="2176">
      <c r="A2176" s="5">
        <f>HYPERLINK("https://www.oit.va.gov/Services/TRM/ToolPage.aspx?tid=16513^","dominKnow Learning Content Management System (LCMS)")</f>
      </c>
      <c r="B2176" s="4" t="s">
        <v>2902</v>
      </c>
      <c r="C2176" s="9" t="s">
        <v>6</v>
      </c>
      <c r="D2176" s="12" t="s">
        <v>2985</v>
      </c>
    </row>
    <row r="2177">
      <c r="A2177" s="5">
        <f>HYPERLINK("https://www.oit.va.gov/Services/TRM/ToolPage.aspx?tid=16329^","Domo Workbench")</f>
      </c>
      <c r="B2177" s="4" t="s">
        <v>2986</v>
      </c>
      <c r="C2177" s="9" t="s">
        <v>6</v>
      </c>
      <c r="D2177" s="12" t="s">
        <v>39</v>
      </c>
    </row>
    <row r="2178">
      <c r="A2178" s="5">
        <f>HYPERLINK("https://www.oit.va.gov/Services/TRM/ToolPage.aspx?tid=16441^","Dose IQ")</f>
      </c>
      <c r="B2178" s="4" t="s">
        <v>561</v>
      </c>
      <c r="C2178" s="9" t="s">
        <v>6</v>
      </c>
      <c r="D2178" s="12" t="s">
        <v>640</v>
      </c>
    </row>
    <row r="2179">
      <c r="A2179" s="5">
        <f>HYPERLINK("https://www.oit.va.gov/Services/TRM/ToolPage.aspx?tid=16505^","Dragon Legal")</f>
      </c>
      <c r="B2179" s="4" t="s">
        <v>342</v>
      </c>
      <c r="C2179" s="9" t="s">
        <v>6</v>
      </c>
      <c r="D2179" s="12" t="s">
        <v>2987</v>
      </c>
    </row>
    <row r="2180">
      <c r="A2180" s="5">
        <f>HYPERLINK("https://www.oit.va.gov/Services/TRM/ToolPage.aspx?tid=16252^","Dragon Professional Individual")</f>
      </c>
      <c r="B2180" s="4" t="s">
        <v>342</v>
      </c>
      <c r="C2180" s="9" t="s">
        <v>6</v>
      </c>
      <c r="D2180" s="12" t="s">
        <v>2988</v>
      </c>
    </row>
    <row r="2181">
      <c r="A2181" s="5">
        <f>HYPERLINK("https://www.oit.va.gov/Services/TRM/ToolPage.aspx?tid=12905^","Dragon Web Extension")</f>
      </c>
      <c r="B2181" s="4" t="s">
        <v>342</v>
      </c>
      <c r="C2181" s="9" t="s">
        <v>6</v>
      </c>
      <c r="D2181" s="12" t="s">
        <v>2941</v>
      </c>
    </row>
    <row r="2182">
      <c r="A2182" s="5">
        <f>HYPERLINK("https://www.oit.va.gov/Services/TRM/ToolPage.aspx?tid=6631^","Drupal")</f>
      </c>
      <c r="B2182" s="4" t="s">
        <v>2989</v>
      </c>
      <c r="C2182" s="9" t="s">
        <v>6</v>
      </c>
      <c r="D2182" s="12" t="s">
        <v>2990</v>
      </c>
    </row>
    <row r="2183">
      <c r="A2183" s="5">
        <f>HYPERLINK("https://www.oit.va.gov/Services/TRM/ToolPage.aspx?tid=8709^","Druva inSync Client")</f>
      </c>
      <c r="B2183" s="4" t="s">
        <v>2991</v>
      </c>
      <c r="C2183" s="9" t="s">
        <v>6</v>
      </c>
      <c r="D2183" s="12" t="s">
        <v>2992</v>
      </c>
    </row>
    <row r="2184">
      <c r="A2184" s="5">
        <f>HYPERLINK("https://www.oit.va.gov/Services/TRM/ToolPage.aspx?tid=11029^","D-Scope Server")</f>
      </c>
      <c r="B2184" s="4" t="s">
        <v>2993</v>
      </c>
      <c r="C2184" s="9" t="s">
        <v>6</v>
      </c>
      <c r="D2184" s="12" t="s">
        <v>2994</v>
      </c>
    </row>
    <row r="2185">
      <c r="A2185" s="5">
        <f>HYPERLINK("https://www.oit.va.gov/Services/TRM/ToolPage.aspx?tid=9778^","DSS Consult Tracking Manager (CTM)")</f>
      </c>
      <c r="B2185" s="4" t="s">
        <v>294</v>
      </c>
      <c r="C2185" s="9" t="s">
        <v>6</v>
      </c>
      <c r="D2185" s="12" t="s">
        <v>644</v>
      </c>
    </row>
    <row r="2186">
      <c r="A2186" s="5">
        <f>HYPERLINK("https://www.oit.va.gov/Services/TRM/ToolPage.aspx?tid=14854^","DSS VistA Chemotherapy Manager (VCM) Order Status Fix It Tool")</f>
      </c>
      <c r="B2186" s="4" t="s">
        <v>294</v>
      </c>
      <c r="C2186" s="9" t="s">
        <v>6</v>
      </c>
      <c r="D2186" s="12" t="s">
        <v>2995</v>
      </c>
    </row>
    <row r="2187">
      <c r="A2187" s="5">
        <f>HYPERLINK("https://www.oit.va.gov/Services/TRM/ToolPage.aspx?tid=15846^","Dun &amp; Bradstreet (D&amp;B) Integration Manager (IM)")</f>
      </c>
      <c r="B2187" s="4" t="s">
        <v>2996</v>
      </c>
      <c r="C2187" s="9" t="s">
        <v>6</v>
      </c>
      <c r="D2187" s="12" t="s">
        <v>2997</v>
      </c>
    </row>
    <row r="2188">
      <c r="A2188" s="5">
        <f>HYPERLINK("https://www.oit.va.gov/Services/TRM/ToolPage.aspx?tid=5454^","DX Application Performance Management (APM)")</f>
      </c>
      <c r="B2188" s="4" t="s">
        <v>2998</v>
      </c>
      <c r="C2188" s="9" t="s">
        <v>6</v>
      </c>
      <c r="D2188" s="12" t="s">
        <v>2999</v>
      </c>
    </row>
    <row r="2189">
      <c r="A2189" s="5">
        <f>HYPERLINK("https://www.oit.va.gov/Services/TRM/ToolPage.aspx?tid=11597^","Dynamic Web TWAIN (DWT)")</f>
      </c>
      <c r="B2189" s="4" t="s">
        <v>3000</v>
      </c>
      <c r="C2189" s="9" t="s">
        <v>6</v>
      </c>
      <c r="D2189" s="12" t="s">
        <v>3001</v>
      </c>
    </row>
    <row r="2190">
      <c r="A2190" s="5">
        <f>HYPERLINK("https://www.oit.va.gov/Services/TRM/ToolPage.aspx?tid=11699^","Dynamo")</f>
      </c>
      <c r="B2190" s="4" t="s">
        <v>1800</v>
      </c>
      <c r="C2190" s="9" t="s">
        <v>6</v>
      </c>
      <c r="D2190" s="12" t="s">
        <v>2925</v>
      </c>
    </row>
    <row r="2191">
      <c r="A2191" s="5">
        <f>HYPERLINK("https://www.oit.va.gov/Services/TRM/ToolPage.aspx?tid=13956^","Dynatrace Managed")</f>
      </c>
      <c r="B2191" s="4" t="s">
        <v>3002</v>
      </c>
      <c r="C2191" s="9" t="s">
        <v>6</v>
      </c>
      <c r="D2191" s="12" t="s">
        <v>2406</v>
      </c>
    </row>
    <row r="2192">
      <c r="A2192" s="5">
        <f>HYPERLINK("https://www.oit.va.gov/Services/TRM/ToolPage.aspx?tid=8877^","E Job Entry Subsystem ((E)JES)")</f>
      </c>
      <c r="B2192" s="4" t="s">
        <v>3003</v>
      </c>
      <c r="C2192" s="9" t="s">
        <v>6</v>
      </c>
      <c r="D2192" s="12" t="s">
        <v>3004</v>
      </c>
    </row>
    <row r="2193">
      <c r="A2193" s="5">
        <f>HYPERLINK("https://www.oit.va.gov/Services/TRM/ToolPage.aspx?tid=8123^","East Base")</f>
      </c>
      <c r="B2193" s="4" t="s">
        <v>3005</v>
      </c>
      <c r="C2193" s="9" t="s">
        <v>6</v>
      </c>
      <c r="D2193" s="12" t="s">
        <v>3006</v>
      </c>
    </row>
    <row r="2194">
      <c r="A2194" s="5">
        <f>HYPERLINK("https://www.oit.va.gov/Services/TRM/ToolPage.aspx?tid=8710^","Easy III")</f>
      </c>
      <c r="B2194" s="4" t="s">
        <v>845</v>
      </c>
      <c r="C2194" s="9" t="s">
        <v>6</v>
      </c>
      <c r="D2194" s="12" t="s">
        <v>1943</v>
      </c>
    </row>
    <row r="2195">
      <c r="A2195" s="5">
        <f>HYPERLINK("https://www.oit.va.gov/Services/TRM/ToolPage.aspx?tid=15068^","EasyLobby Secure Visitor Management (SVM)")</f>
      </c>
      <c r="B2195" s="4" t="s">
        <v>324</v>
      </c>
      <c r="C2195" s="9" t="s">
        <v>6</v>
      </c>
      <c r="D2195" s="12" t="s">
        <v>1459</v>
      </c>
    </row>
    <row r="2196">
      <c r="A2196" s="5">
        <f>HYPERLINK("https://www.oit.va.gov/Services/TRM/ToolPage.aspx?tid=15073^","EasyLog 21CFR (Title 21 of the Code of Federal Regulations)")</f>
      </c>
      <c r="B2196" s="4" t="s">
        <v>3007</v>
      </c>
      <c r="C2196" s="9" t="s">
        <v>6</v>
      </c>
      <c r="D2196" s="12" t="s">
        <v>3008</v>
      </c>
    </row>
    <row r="2197">
      <c r="A2197" s="5">
        <f>HYPERLINK("https://www.oit.va.gov/Services/TRM/ToolPage.aspx?tid=10037^","EasyLog Universal Serial Bus (USB)")</f>
      </c>
      <c r="B2197" s="4" t="s">
        <v>3007</v>
      </c>
      <c r="C2197" s="9" t="s">
        <v>6</v>
      </c>
      <c r="D2197" s="12" t="s">
        <v>888</v>
      </c>
    </row>
    <row r="2198">
      <c r="A2198" s="5">
        <f>HYPERLINK("https://www.oit.va.gov/Services/TRM/ToolPage.aspx?tid=7807^","EasyWare")</f>
      </c>
      <c r="B2198" s="4" t="s">
        <v>1006</v>
      </c>
      <c r="C2198" s="9" t="s">
        <v>6</v>
      </c>
      <c r="D2198" s="12" t="s">
        <v>1516</v>
      </c>
    </row>
    <row r="2199">
      <c r="A2199" s="5">
        <f>HYPERLINK("https://www.oit.va.gov/Services/TRM/ToolPage.aspx?tid=16074^","ECFax Conductor")</f>
      </c>
      <c r="B2199" s="4" t="s">
        <v>3009</v>
      </c>
      <c r="C2199" s="9" t="s">
        <v>6</v>
      </c>
      <c r="D2199" s="12" t="s">
        <v>143</v>
      </c>
    </row>
    <row r="2200">
      <c r="A2200" s="5">
        <f>HYPERLINK("https://www.oit.va.gov/Services/TRM/ToolPage.aspx?tid=10013^","EcoStruxure Power Monitoring Expert")</f>
      </c>
      <c r="B2200" s="4" t="s">
        <v>2914</v>
      </c>
      <c r="C2200" s="9" t="s">
        <v>6</v>
      </c>
      <c r="D2200" s="12" t="s">
        <v>3010</v>
      </c>
    </row>
    <row r="2201">
      <c r="A2201" s="5">
        <f>HYPERLINK("https://www.oit.va.gov/Services/TRM/ToolPage.aspx?tid=14296^","edgeCore")</f>
      </c>
      <c r="B2201" s="4" t="s">
        <v>2394</v>
      </c>
      <c r="C2201" s="9" t="s">
        <v>6</v>
      </c>
      <c r="D2201" s="12" t="s">
        <v>3011</v>
      </c>
    </row>
    <row r="2202">
      <c r="A2202" s="5">
        <f>HYPERLINK("https://www.oit.va.gov/Services/TRM/ToolPage.aspx?tid=14506^","Eggplant Functional")</f>
      </c>
      <c r="B2202" s="4" t="s">
        <v>3012</v>
      </c>
      <c r="C2202" s="9" t="s">
        <v>6</v>
      </c>
      <c r="D2202" s="12" t="s">
        <v>3013</v>
      </c>
    </row>
    <row r="2203">
      <c r="A2203" s="5">
        <f>HYPERLINK("https://www.oit.va.gov/Services/TRM/ToolPage.aspx?tid=14508^","Eggplant Manager")</f>
      </c>
      <c r="B2203" s="4" t="s">
        <v>3014</v>
      </c>
      <c r="C2203" s="9" t="s">
        <v>6</v>
      </c>
      <c r="D2203" s="12" t="s">
        <v>3015</v>
      </c>
    </row>
    <row r="2204">
      <c r="A2204" s="5">
        <f>HYPERLINK("https://www.oit.va.gov/Services/TRM/ToolPage.aspx?tid=14507^","Eggplant Performance")</f>
      </c>
      <c r="B2204" s="4" t="s">
        <v>3012</v>
      </c>
      <c r="C2204" s="9" t="s">
        <v>6</v>
      </c>
      <c r="D2204" s="12" t="s">
        <v>3016</v>
      </c>
    </row>
    <row r="2205">
      <c r="A2205" s="5">
        <f>HYPERLINK("https://www.oit.va.gov/Services/TRM/ToolPage.aspx?tid=15907^","ElbowSoft TMR")</f>
      </c>
      <c r="B2205" s="4" t="s">
        <v>1183</v>
      </c>
      <c r="C2205" s="9" t="s">
        <v>6</v>
      </c>
      <c r="D2205" s="12" t="s">
        <v>3017</v>
      </c>
    </row>
    <row r="2206">
      <c r="A2206" s="5">
        <f>HYPERLINK("https://www.oit.va.gov/Services/TRM/ToolPage.aspx?tid=13873^","Electron Reader")</f>
      </c>
      <c r="B2206" s="4" t="s">
        <v>1383</v>
      </c>
      <c r="C2206" s="9" t="s">
        <v>6</v>
      </c>
      <c r="D2206" s="12" t="s">
        <v>1902</v>
      </c>
    </row>
    <row r="2207">
      <c r="A2207" s="5">
        <f>HYPERLINK("https://www.oit.va.gov/Services/TRM/ToolPage.aspx?tid=13545^","Elementi")</f>
      </c>
      <c r="B2207" s="4" t="s">
        <v>3018</v>
      </c>
      <c r="C2207" s="9" t="s">
        <v>6</v>
      </c>
      <c r="D2207" s="12" t="s">
        <v>3019</v>
      </c>
    </row>
    <row r="2208">
      <c r="A2208" s="5">
        <f>HYPERLINK("https://www.oit.va.gov/Services/TRM/ToolPage.aspx?tid=16472^","EmailArchitect SendMail (EASendMail) Simple Mail Transfer Protocol (SMTP) Component")</f>
      </c>
      <c r="B2208" s="4" t="s">
        <v>3020</v>
      </c>
      <c r="C2208" s="9" t="s">
        <v>6</v>
      </c>
      <c r="D2208" s="12" t="s">
        <v>948</v>
      </c>
    </row>
    <row r="2209">
      <c r="A2209" s="5">
        <f>HYPERLINK("https://www.oit.va.gov/Services/TRM/ToolPage.aspx?tid=10913^","Embedded JavaScript Templating (EJS)")</f>
      </c>
      <c r="B2209" s="4" t="s">
        <v>3021</v>
      </c>
      <c r="C2209" s="9" t="s">
        <v>6</v>
      </c>
      <c r="D2209" s="12" t="s">
        <v>3022</v>
      </c>
    </row>
    <row r="2210">
      <c r="A2210" s="5">
        <f>HYPERLINK("https://www.oit.va.gov/Services/TRM/ToolPage.aspx?tid=10530^","EMC Data Domain Boost Filesystem (BoostFS)")</f>
      </c>
      <c r="B2210" s="4" t="s">
        <v>1940</v>
      </c>
      <c r="C2210" s="9" t="s">
        <v>6</v>
      </c>
      <c r="D2210" s="12" t="s">
        <v>3023</v>
      </c>
    </row>
    <row r="2211">
      <c r="A2211" s="5">
        <f>HYPERLINK("https://www.oit.va.gov/Services/TRM/ToolPage.aspx?tid=11804^","EMC Grab for Windows")</f>
      </c>
      <c r="B2211" s="4" t="s">
        <v>185</v>
      </c>
      <c r="C2211" s="9" t="s">
        <v>6</v>
      </c>
      <c r="D2211" s="12" t="s">
        <v>3024</v>
      </c>
    </row>
    <row r="2212">
      <c r="A2212" s="5">
        <f>HYPERLINK("https://www.oit.va.gov/Services/TRM/ToolPage.aspx?tid=15216^","EnCase Endpoint Investigator")</f>
      </c>
      <c r="B2212" s="4" t="s">
        <v>1314</v>
      </c>
      <c r="C2212" s="9" t="s">
        <v>6</v>
      </c>
      <c r="D2212" s="12" t="s">
        <v>3025</v>
      </c>
    </row>
    <row r="2213">
      <c r="A2213" s="5">
        <f>HYPERLINK("https://www.oit.va.gov/Services/TRM/ToolPage.aspx?tid=11741^","Encore Enterprise Workforce Optimization")</f>
      </c>
      <c r="B2213" s="4" t="s">
        <v>3026</v>
      </c>
      <c r="C2213" s="9" t="s">
        <v>6</v>
      </c>
      <c r="D2213" s="12" t="s">
        <v>3027</v>
      </c>
    </row>
    <row r="2214">
      <c r="A2214" s="5">
        <f>HYPERLINK("https://www.oit.va.gov/Services/TRM/ToolPage.aspx?tid=6370^","Endicia Shipper")</f>
      </c>
      <c r="B2214" s="4" t="s">
        <v>3028</v>
      </c>
      <c r="C2214" s="9" t="s">
        <v>6</v>
      </c>
      <c r="D2214" s="12" t="s">
        <v>3029</v>
      </c>
    </row>
    <row r="2215">
      <c r="A2215" s="5">
        <f>HYPERLINK("https://www.oit.va.gov/Services/TRM/ToolPage.aspx?tid=5966^","EndNote")</f>
      </c>
      <c r="B2215" s="4" t="s">
        <v>1944</v>
      </c>
      <c r="C2215" s="9" t="s">
        <v>6</v>
      </c>
      <c r="D2215" s="12" t="s">
        <v>3030</v>
      </c>
    </row>
    <row r="2216">
      <c r="A2216" s="5">
        <f>HYPERLINK("https://www.oit.va.gov/Services/TRM/ToolPage.aspx?tid=16856^","EndoPATx")</f>
      </c>
      <c r="B2216" s="4" t="s">
        <v>3031</v>
      </c>
      <c r="C2216" s="9" t="s">
        <v>6</v>
      </c>
      <c r="D2216" s="12" t="s">
        <v>3032</v>
      </c>
    </row>
    <row r="2217">
      <c r="A2217" s="5">
        <f>HYPERLINK("https://www.oit.va.gov/Services/TRM/ToolPage.aspx?tid=15784^","Endpoint Product Removal Tool (EPR)")</f>
      </c>
      <c r="B2217" s="4" t="s">
        <v>954</v>
      </c>
      <c r="C2217" s="9" t="s">
        <v>6</v>
      </c>
      <c r="D2217" s="12" t="s">
        <v>3033</v>
      </c>
    </row>
    <row r="2218">
      <c r="A2218" s="5">
        <f>HYPERLINK("https://www.oit.va.gov/Services/TRM/ToolPage.aspx?tid=5644^","Endpoint Security Client")</f>
      </c>
      <c r="B2218" s="4" t="s">
        <v>2042</v>
      </c>
      <c r="C2218" s="9" t="s">
        <v>6</v>
      </c>
      <c r="D2218" s="12" t="s">
        <v>3034</v>
      </c>
    </row>
    <row r="2219">
      <c r="A2219" s="5">
        <f>HYPERLINK("https://www.oit.va.gov/Services/TRM/ToolPage.aspx?tid=15517^","EngageOne Designer")</f>
      </c>
      <c r="B2219" s="4" t="s">
        <v>315</v>
      </c>
      <c r="C2219" s="9" t="s">
        <v>6</v>
      </c>
      <c r="D2219" s="12" t="s">
        <v>317</v>
      </c>
    </row>
    <row r="2220">
      <c r="A2220" s="5">
        <f>HYPERLINK("https://www.oit.va.gov/Services/TRM/ToolPage.aspx?tid=7696^","Enhanced Mailing and Shipping (EMS)")</f>
      </c>
      <c r="B2220" s="4" t="s">
        <v>3035</v>
      </c>
      <c r="C2220" s="9" t="s">
        <v>6</v>
      </c>
      <c r="D2220" s="12" t="s">
        <v>1725</v>
      </c>
    </row>
    <row r="2221">
      <c r="A2221" s="5">
        <f>HYPERLINK("https://www.oit.va.gov/Services/TRM/ToolPage.aspx?tid=10068^","Enterprise Access")</f>
      </c>
      <c r="B2221" s="4" t="s">
        <v>1310</v>
      </c>
      <c r="C2221" s="9" t="s">
        <v>6</v>
      </c>
      <c r="D2221" s="12" t="s">
        <v>3036</v>
      </c>
    </row>
    <row r="2222">
      <c r="A2222" s="5">
        <f>HYPERLINK("https://www.oit.va.gov/Services/TRM/ToolPage.aspx?tid=10826^","Enterprise Health")</f>
      </c>
      <c r="B2222" s="4" t="s">
        <v>3037</v>
      </c>
      <c r="C2222" s="9" t="s">
        <v>6</v>
      </c>
      <c r="D2222" s="12" t="s">
        <v>3038</v>
      </c>
    </row>
    <row r="2223">
      <c r="A2223" s="5">
        <f>HYPERLINK("https://www.oit.va.gov/Services/TRM/ToolPage.aspx?tid=16751^","Enterprise Secure Chat")</f>
      </c>
      <c r="B2223" s="4" t="s">
        <v>3039</v>
      </c>
      <c r="C2223" s="9" t="s">
        <v>6</v>
      </c>
      <c r="D2223" s="12" t="s">
        <v>2145</v>
      </c>
    </row>
    <row r="2224">
      <c r="A2224" s="5">
        <f>HYPERLINK("https://www.oit.va.gov/Services/TRM/ToolPage.aspx?tid=13002^","EntryPoint")</f>
      </c>
      <c r="B2224" s="4" t="s">
        <v>3040</v>
      </c>
      <c r="C2224" s="9" t="s">
        <v>6</v>
      </c>
      <c r="D2224" s="12" t="s">
        <v>3041</v>
      </c>
    </row>
    <row r="2225">
      <c r="A2225" s="5">
        <f>HYPERLINK("https://www.oit.va.gov/Services/TRM/ToolPage.aspx?tid=8306^","Environmental Health and Safety Assistant (EH&amp;S Assistant)")</f>
      </c>
      <c r="B2225" s="4" t="s">
        <v>3042</v>
      </c>
      <c r="C2225" s="9" t="s">
        <v>6</v>
      </c>
      <c r="D2225" s="12" t="s">
        <v>225</v>
      </c>
    </row>
    <row r="2226">
      <c r="A2226" s="5">
        <f>HYPERLINK("https://www.oit.va.gov/Services/TRM/ToolPage.aspx?tid=16087^","EP Calipers")</f>
      </c>
      <c r="B2226" s="4" t="s">
        <v>3043</v>
      </c>
      <c r="C2226" s="9" t="s">
        <v>6</v>
      </c>
      <c r="D2226" s="12" t="s">
        <v>1666</v>
      </c>
    </row>
    <row r="2227">
      <c r="A2227" s="5">
        <f>HYPERLINK("https://www.oit.va.gov/Services/TRM/ToolPage.aspx?tid=11505^","Ephesoft Transact")</f>
      </c>
      <c r="B2227" s="4" t="s">
        <v>3044</v>
      </c>
      <c r="C2227" s="9" t="s">
        <v>6</v>
      </c>
      <c r="D2227" s="12" t="s">
        <v>2667</v>
      </c>
    </row>
    <row r="2228">
      <c r="A2228" s="5">
        <f>HYPERLINK("https://www.oit.va.gov/Services/TRM/ToolPage.aspx?tid=9665^","ePROHealth Platform")</f>
      </c>
      <c r="B2228" s="4" t="s">
        <v>3045</v>
      </c>
      <c r="C2228" s="9" t="s">
        <v>6</v>
      </c>
      <c r="D2228" s="12" t="s">
        <v>3046</v>
      </c>
    </row>
    <row r="2229">
      <c r="A2229" s="5">
        <f>HYPERLINK("https://www.oit.va.gov/Services/TRM/ToolPage.aspx?tid=16720^","Equature")</f>
      </c>
      <c r="B2229" s="4" t="s">
        <v>3047</v>
      </c>
      <c r="C2229" s="9" t="s">
        <v>6</v>
      </c>
      <c r="D2229" s="12" t="s">
        <v>3048</v>
      </c>
    </row>
    <row r="2230">
      <c r="A2230" s="5">
        <f>HYPERLINK("https://www.oit.va.gov/Services/TRM/ToolPage.aspx?tid=15273^","eRAD PACS viewer")</f>
      </c>
      <c r="B2230" s="4" t="s">
        <v>3049</v>
      </c>
      <c r="C2230" s="9" t="s">
        <v>6</v>
      </c>
      <c r="D2230" s="12" t="s">
        <v>3050</v>
      </c>
    </row>
    <row r="2231">
      <c r="A2231" s="5">
        <f>HYPERLINK("https://www.oit.va.gov/Services/TRM/ToolPage.aspx?tid=16510^","ESView")</f>
      </c>
      <c r="B2231" s="4" t="s">
        <v>3051</v>
      </c>
      <c r="C2231" s="9" t="s">
        <v>6</v>
      </c>
      <c r="D2231" s="12" t="s">
        <v>2652</v>
      </c>
    </row>
    <row r="2232">
      <c r="A2232" s="5">
        <f>HYPERLINK("https://www.oit.va.gov/Services/TRM/ToolPage.aspx?tid=15190^","Evagene")</f>
      </c>
      <c r="B2232" s="4" t="s">
        <v>3052</v>
      </c>
      <c r="C2232" s="9" t="s">
        <v>6</v>
      </c>
      <c r="D2232" s="12" t="s">
        <v>262</v>
      </c>
    </row>
    <row r="2233">
      <c r="A2233" s="5">
        <f>HYPERLINK("https://www.oit.va.gov/Services/TRM/ToolPage.aspx?tid=9233^","eVideon Interactive Patient Care Television System")</f>
      </c>
      <c r="B2233" s="4" t="s">
        <v>3053</v>
      </c>
      <c r="C2233" s="9" t="s">
        <v>6</v>
      </c>
      <c r="D2233" s="12" t="s">
        <v>3054</v>
      </c>
    </row>
    <row r="2234">
      <c r="A2234" s="5">
        <f>HYPERLINK("https://www.oit.va.gov/Services/TRM/ToolPage.aspx?tid=15389^","Evoq Engage")</f>
      </c>
      <c r="B2234" s="4" t="s">
        <v>994</v>
      </c>
      <c r="C2234" s="9" t="s">
        <v>6</v>
      </c>
      <c r="D2234" s="12" t="s">
        <v>262</v>
      </c>
    </row>
    <row r="2235">
      <c r="A2235" s="5">
        <f>HYPERLINK("https://www.oit.va.gov/Services/TRM/ToolPage.aspx?tid=8699^","exacqVision Client")</f>
      </c>
      <c r="B2235" s="4" t="s">
        <v>3055</v>
      </c>
      <c r="C2235" s="9" t="s">
        <v>6</v>
      </c>
      <c r="D2235" s="12" t="s">
        <v>3056</v>
      </c>
    </row>
    <row r="2236">
      <c r="A2236" s="5">
        <f>HYPERLINK("https://www.oit.va.gov/Services/TRM/ToolPage.aspx?tid=10904^","ExamShield")</f>
      </c>
      <c r="B2236" s="4" t="s">
        <v>3057</v>
      </c>
      <c r="C2236" s="9" t="s">
        <v>6</v>
      </c>
      <c r="D2236" s="12" t="s">
        <v>3058</v>
      </c>
    </row>
    <row r="2237">
      <c r="A2237" s="5">
        <f>HYPERLINK("https://www.oit.va.gov/Services/TRM/ToolPage.aspx?tid=7447^","ExcelerPlan")</f>
      </c>
      <c r="B2237" s="4" t="s">
        <v>3059</v>
      </c>
      <c r="C2237" s="9" t="s">
        <v>6</v>
      </c>
      <c r="D2237" s="12" t="s">
        <v>3060</v>
      </c>
    </row>
    <row r="2238">
      <c r="A2238" s="5">
        <f>HYPERLINK("https://www.oit.va.gov/Services/TRM/ToolPage.aspx?tid=8284^","ExtraView")</f>
      </c>
      <c r="B2238" s="4" t="s">
        <v>3061</v>
      </c>
      <c r="C2238" s="9" t="s">
        <v>6</v>
      </c>
      <c r="D2238" s="12" t="s">
        <v>71</v>
      </c>
    </row>
    <row r="2239">
      <c r="A2239" s="5">
        <f>HYPERLINK("https://www.oit.va.gov/Services/TRM/ToolPage.aspx?tid=10315^","EyeSuite Software")</f>
      </c>
      <c r="B2239" s="4" t="s">
        <v>3062</v>
      </c>
      <c r="C2239" s="9" t="s">
        <v>6</v>
      </c>
      <c r="D2239" s="12" t="s">
        <v>3063</v>
      </c>
    </row>
    <row r="2240">
      <c r="A2240" s="5">
        <f>HYPERLINK("https://www.oit.va.gov/Services/TRM/ToolPage.aspx?tid=16480^","EzConfig")</f>
      </c>
      <c r="B2240" s="4" t="s">
        <v>2496</v>
      </c>
      <c r="C2240" s="9" t="s">
        <v>6</v>
      </c>
      <c r="D2240" s="12" t="s">
        <v>15</v>
      </c>
    </row>
    <row r="2241">
      <c r="A2241" s="5">
        <f>HYPERLINK("https://www.oit.va.gov/Services/TRM/ToolPage.aspx?tid=11547^","EZ-Vote Connect")</f>
      </c>
      <c r="B2241" s="4" t="s">
        <v>3064</v>
      </c>
      <c r="C2241" s="9" t="s">
        <v>6</v>
      </c>
      <c r="D2241" s="12" t="s">
        <v>3065</v>
      </c>
    </row>
    <row r="2242">
      <c r="A2242" s="5">
        <f>HYPERLINK("https://www.oit.va.gov/Services/TRM/ToolPage.aspx?tid=6199^","F5 BIG-Internet Protocol (IP) Domain Name System (DNS)")</f>
      </c>
      <c r="B2242" s="4" t="s">
        <v>3066</v>
      </c>
      <c r="C2242" s="9" t="s">
        <v>6</v>
      </c>
      <c r="D2242" s="12" t="s">
        <v>3067</v>
      </c>
    </row>
    <row r="2243">
      <c r="A2243" s="5">
        <f>HYPERLINK("https://www.oit.va.gov/Services/TRM/ToolPage.aspx?tid=14785^","Faros Manager Software")</f>
      </c>
      <c r="B2243" s="4" t="s">
        <v>3068</v>
      </c>
      <c r="C2243" s="9" t="s">
        <v>6</v>
      </c>
      <c r="D2243" s="12" t="s">
        <v>3069</v>
      </c>
    </row>
    <row r="2244">
      <c r="A2244" s="5">
        <f>HYPERLINK("https://www.oit.va.gov/Services/TRM/ToolPage.aspx?tid=6253^","FastReport Visual Component Library (VCL)")</f>
      </c>
      <c r="B2244" s="4" t="s">
        <v>3070</v>
      </c>
      <c r="C2244" s="9" t="s">
        <v>6</v>
      </c>
      <c r="D2244" s="12" t="s">
        <v>2650</v>
      </c>
    </row>
    <row r="2245">
      <c r="A2245" s="5">
        <f>HYPERLINK("https://www.oit.va.gov/Services/TRM/ToolPage.aspx?tid=8214^","FDA eSubmitter")</f>
      </c>
      <c r="B2245" s="4" t="s">
        <v>3071</v>
      </c>
      <c r="C2245" s="9" t="s">
        <v>6</v>
      </c>
      <c r="D2245" s="12" t="s">
        <v>3072</v>
      </c>
    </row>
    <row r="2246">
      <c r="A2246" s="5">
        <f>HYPERLINK("https://www.oit.va.gov/Services/TRM/ToolPage.aspx?tid=10111^","FDR/Upstream Director")</f>
      </c>
      <c r="B2246" s="4" t="s">
        <v>2764</v>
      </c>
      <c r="C2246" s="9" t="s">
        <v>6</v>
      </c>
      <c r="D2246" s="12" t="s">
        <v>3073</v>
      </c>
    </row>
    <row r="2247">
      <c r="A2247" s="5">
        <f>HYPERLINK("https://www.oit.va.gov/Services/TRM/ToolPage.aspx?tid=9065^","FedEx Ship Manager")</f>
      </c>
      <c r="B2247" s="4" t="s">
        <v>3074</v>
      </c>
      <c r="C2247" s="9" t="s">
        <v>6</v>
      </c>
      <c r="D2247" s="12" t="s">
        <v>3075</v>
      </c>
    </row>
    <row r="2248">
      <c r="A2248" s="5">
        <f>HYPERLINK("https://www.oit.va.gov/Services/TRM/ToolPage.aspx?tid=8845^","Feith COLD")</f>
      </c>
      <c r="B2248" s="4" t="s">
        <v>194</v>
      </c>
      <c r="C2248" s="9" t="s">
        <v>6</v>
      </c>
      <c r="D2248" s="12" t="s">
        <v>195</v>
      </c>
    </row>
    <row r="2249">
      <c r="A2249" s="5">
        <f>HYPERLINK("https://www.oit.va.gov/Services/TRM/ToolPage.aspx?tid=8679^","Feith Control Panel")</f>
      </c>
      <c r="B2249" s="4" t="s">
        <v>194</v>
      </c>
      <c r="C2249" s="9" t="s">
        <v>6</v>
      </c>
      <c r="D2249" s="12" t="s">
        <v>3076</v>
      </c>
    </row>
    <row r="2250">
      <c r="A2250" s="5">
        <f>HYPERLINK("https://www.oit.va.gov/Services/TRM/ToolPage.aspx?tid=8680^","Feith Dashboard iQ Designer")</f>
      </c>
      <c r="B2250" s="4" t="s">
        <v>194</v>
      </c>
      <c r="C2250" s="9" t="s">
        <v>6</v>
      </c>
      <c r="D2250" s="12" t="s">
        <v>195</v>
      </c>
    </row>
    <row r="2251">
      <c r="A2251" s="5">
        <f>HYPERLINK("https://www.oit.va.gov/Services/TRM/ToolPage.aspx?tid=8807^","Feith Document Viewer")</f>
      </c>
      <c r="B2251" s="4" t="s">
        <v>194</v>
      </c>
      <c r="C2251" s="9" t="s">
        <v>6</v>
      </c>
      <c r="D2251" s="12" t="s">
        <v>2721</v>
      </c>
    </row>
    <row r="2252">
      <c r="A2252" s="5">
        <f>HYPERLINK("https://www.oit.va.gov/Services/TRM/ToolPage.aspx?tid=8810^","Feith Forms iQ Designer")</f>
      </c>
      <c r="B2252" s="4" t="s">
        <v>194</v>
      </c>
      <c r="C2252" s="9" t="s">
        <v>6</v>
      </c>
      <c r="D2252" s="12" t="s">
        <v>3077</v>
      </c>
    </row>
    <row r="2253">
      <c r="A2253" s="5">
        <f>HYPERLINK("https://www.oit.va.gov/Services/TRM/ToolPage.aspx?tid=8576^","Feith Harrier")</f>
      </c>
      <c r="B2253" s="4" t="s">
        <v>194</v>
      </c>
      <c r="C2253" s="9" t="s">
        <v>6</v>
      </c>
      <c r="D2253" s="12" t="s">
        <v>3077</v>
      </c>
    </row>
    <row r="2254">
      <c r="A2254" s="5">
        <f>HYPERLINK("https://www.oit.va.gov/Services/TRM/ToolPage.aspx?tid=8935^","Feith Quick Integrator (QI)")</f>
      </c>
      <c r="B2254" s="4" t="s">
        <v>194</v>
      </c>
      <c r="C2254" s="9" t="s">
        <v>6</v>
      </c>
      <c r="D2254" s="12" t="s">
        <v>3078</v>
      </c>
    </row>
    <row r="2255">
      <c r="A2255" s="5">
        <f>HYPERLINK("https://www.oit.va.gov/Services/TRM/ToolPage.aspx?tid=9119^","Feith Raptor")</f>
      </c>
      <c r="B2255" s="4" t="s">
        <v>194</v>
      </c>
      <c r="C2255" s="9" t="s">
        <v>6</v>
      </c>
      <c r="D2255" s="12" t="s">
        <v>3079</v>
      </c>
    </row>
    <row r="2256">
      <c r="A2256" s="5">
        <f>HYPERLINK("https://www.oit.va.gov/Services/TRM/ToolPage.aspx?tid=8814^","Feith Reports iQ Service")</f>
      </c>
      <c r="B2256" s="4" t="s">
        <v>194</v>
      </c>
      <c r="C2256" s="9" t="s">
        <v>6</v>
      </c>
      <c r="D2256" s="12" t="s">
        <v>3079</v>
      </c>
    </row>
    <row r="2257">
      <c r="A2257" s="5">
        <f>HYPERLINK("https://www.oit.va.gov/Services/TRM/ToolPage.aspx?tid=8973^","Feith Rules Engine (REX)")</f>
      </c>
      <c r="B2257" s="4" t="s">
        <v>194</v>
      </c>
      <c r="C2257" s="9" t="s">
        <v>6</v>
      </c>
      <c r="D2257" s="12" t="s">
        <v>3080</v>
      </c>
    </row>
    <row r="2258">
      <c r="A2258" s="5">
        <f>HYPERLINK("https://www.oit.va.gov/Services/TRM/ToolPage.aspx?tid=8577^","Feith Universal Text Recognition (UTR)")</f>
      </c>
      <c r="B2258" s="4" t="s">
        <v>194</v>
      </c>
      <c r="C2258" s="9" t="s">
        <v>6</v>
      </c>
      <c r="D2258" s="12" t="s">
        <v>3079</v>
      </c>
    </row>
    <row r="2259">
      <c r="A2259" s="5">
        <f>HYPERLINK("https://www.oit.va.gov/Services/TRM/ToolPage.aspx?tid=8579^","Feith Vortex")</f>
      </c>
      <c r="B2259" s="4" t="s">
        <v>194</v>
      </c>
      <c r="C2259" s="9" t="s">
        <v>6</v>
      </c>
      <c r="D2259" s="12" t="s">
        <v>3080</v>
      </c>
    </row>
    <row r="2260">
      <c r="A2260" s="5">
        <f>HYPERLINK("https://www.oit.va.gov/Services/TRM/ToolPage.aspx?tid=8580^","Feith WebFDD (Web Feith Document Database)")</f>
      </c>
      <c r="B2260" s="4" t="s">
        <v>194</v>
      </c>
      <c r="C2260" s="9" t="s">
        <v>6</v>
      </c>
      <c r="D2260" s="12" t="s">
        <v>3080</v>
      </c>
    </row>
    <row r="2261">
      <c r="A2261" s="5">
        <f>HYPERLINK("https://www.oit.va.gov/Services/TRM/ToolPage.aspx?tid=8816^","Feith Workflow iQ Manager")</f>
      </c>
      <c r="B2261" s="4" t="s">
        <v>194</v>
      </c>
      <c r="C2261" s="9" t="s">
        <v>6</v>
      </c>
      <c r="D2261" s="12" t="s">
        <v>219</v>
      </c>
    </row>
    <row r="2262">
      <c r="A2262" s="5">
        <f>HYPERLINK("https://www.oit.va.gov/Services/TRM/ToolPage.aspx?tid=6759^","Fiddler")</f>
      </c>
      <c r="B2262" s="4" t="s">
        <v>241</v>
      </c>
      <c r="C2262" s="9" t="s">
        <v>6</v>
      </c>
      <c r="D2262" s="12" t="s">
        <v>3081</v>
      </c>
    </row>
    <row r="2263">
      <c r="A2263" s="5">
        <f>HYPERLINK("https://www.oit.va.gov/Services/TRM/ToolPage.aspx?tid=11083^","FileHold")</f>
      </c>
      <c r="B2263" s="4" t="s">
        <v>3082</v>
      </c>
      <c r="C2263" s="9" t="s">
        <v>6</v>
      </c>
      <c r="D2263" s="12" t="s">
        <v>3083</v>
      </c>
    </row>
    <row r="2264">
      <c r="A2264" s="5">
        <f>HYPERLINK("https://www.oit.va.gov/Services/TRM/ToolPage.aspx?tid=16515^","FileMaker Pro")</f>
      </c>
      <c r="B2264" s="4" t="s">
        <v>3084</v>
      </c>
      <c r="C2264" s="9" t="s">
        <v>6</v>
      </c>
      <c r="D2264" s="12" t="s">
        <v>1425</v>
      </c>
    </row>
    <row r="2265">
      <c r="A2265" s="5">
        <f>HYPERLINK("https://www.oit.va.gov/Services/TRM/ToolPage.aspx?tid=13999^","FireDaemon Pro")</f>
      </c>
      <c r="B2265" s="4" t="s">
        <v>3085</v>
      </c>
      <c r="C2265" s="9" t="s">
        <v>6</v>
      </c>
      <c r="D2265" s="12" t="s">
        <v>1049</v>
      </c>
    </row>
    <row r="2266">
      <c r="A2266" s="5">
        <f>HYPERLINK("https://www.oit.va.gov/Services/TRM/ToolPage.aspx?tid=10360^","FireflyPro Viewing Software")</f>
      </c>
      <c r="B2266" s="4" t="s">
        <v>3086</v>
      </c>
      <c r="C2266" s="9" t="s">
        <v>6</v>
      </c>
      <c r="D2266" s="12" t="s">
        <v>904</v>
      </c>
    </row>
    <row r="2267">
      <c r="A2267" s="5">
        <f>HYPERLINK("https://www.oit.va.gov/Services/TRM/ToolPage.aspx?tid=13770^","FireWorks")</f>
      </c>
      <c r="B2267" s="4" t="s">
        <v>3087</v>
      </c>
      <c r="C2267" s="9" t="s">
        <v>6</v>
      </c>
      <c r="D2267" s="12" t="s">
        <v>1009</v>
      </c>
    </row>
    <row r="2268">
      <c r="A2268" s="5">
        <f>HYPERLINK("https://www.oit.va.gov/Services/TRM/ToolPage.aspx?tid=7671^","FISERV CheckFree FUND Xpedite Frontier")</f>
      </c>
      <c r="B2268" s="4" t="s">
        <v>3088</v>
      </c>
      <c r="C2268" s="9" t="s">
        <v>6</v>
      </c>
      <c r="D2268" s="12" t="s">
        <v>3089</v>
      </c>
    </row>
    <row r="2269">
      <c r="A2269" s="5">
        <f>HYPERLINK("https://www.oit.va.gov/Services/TRM/ToolPage.aspx?tid=8014^","Fitbit Connect")</f>
      </c>
      <c r="B2269" s="4" t="s">
        <v>2492</v>
      </c>
      <c r="C2269" s="9" t="s">
        <v>6</v>
      </c>
      <c r="D2269" s="12" t="s">
        <v>611</v>
      </c>
    </row>
    <row r="2270">
      <c r="A2270" s="5">
        <f>HYPERLINK("https://www.oit.va.gov/Services/TRM/ToolPage.aspx?tid=10316^","Flask")</f>
      </c>
      <c r="B2270" s="4" t="s">
        <v>3090</v>
      </c>
      <c r="C2270" s="9" t="s">
        <v>6</v>
      </c>
      <c r="D2270" s="12" t="s">
        <v>3091</v>
      </c>
    </row>
    <row r="2271">
      <c r="A2271" s="5">
        <f>HYPERLINK("https://www.oit.va.gov/Services/TRM/ToolPage.aspx?tid=16841^","FlexiDESIGNER VeraSTUDIO Edition")</f>
      </c>
      <c r="B2271" s="4" t="s">
        <v>3092</v>
      </c>
      <c r="C2271" s="9" t="s">
        <v>6</v>
      </c>
      <c r="D2271" s="12" t="s">
        <v>3093</v>
      </c>
    </row>
    <row r="2272">
      <c r="A2272" s="5">
        <f>HYPERLINK("https://www.oit.va.gov/Services/TRM/ToolPage.aspx?tid=13003^","FlexNet Publisher")</f>
      </c>
      <c r="B2272" s="4" t="s">
        <v>1130</v>
      </c>
      <c r="C2272" s="9" t="s">
        <v>6</v>
      </c>
      <c r="D2272" s="12" t="s">
        <v>382</v>
      </c>
    </row>
    <row r="2273">
      <c r="A2273" s="5">
        <f>HYPERLINK("https://www.oit.va.gov/Services/TRM/ToolPage.aspx?tid=15296^","Florida Cancer Data System (FCDS) - Internet Data Editing &amp; Abstracting (IDEA)")</f>
      </c>
      <c r="B2273" s="4" t="s">
        <v>3094</v>
      </c>
      <c r="C2273" s="9" t="s">
        <v>6</v>
      </c>
      <c r="D2273" s="12" t="s">
        <v>3095</v>
      </c>
    </row>
    <row r="2274">
      <c r="A2274" s="5">
        <f>HYPERLINK("https://www.oit.va.gov/Services/TRM/ToolPage.aspx?tid=7415^","Fluke SmartView Classic")</f>
      </c>
      <c r="B2274" s="4" t="s">
        <v>3096</v>
      </c>
      <c r="C2274" s="9" t="s">
        <v>6</v>
      </c>
      <c r="D2274" s="12" t="s">
        <v>966</v>
      </c>
    </row>
    <row r="2275">
      <c r="A2275" s="5">
        <f>HYPERLINK("https://www.oit.va.gov/Services/TRM/ToolPage.aspx?tid=8297^","FM:Interact")</f>
      </c>
      <c r="B2275" s="4" t="s">
        <v>3097</v>
      </c>
      <c r="C2275" s="9" t="s">
        <v>6</v>
      </c>
      <c r="D2275" s="12" t="s">
        <v>3098</v>
      </c>
    </row>
    <row r="2276">
      <c r="A2276" s="5">
        <f>HYPERLINK("https://www.oit.va.gov/Services/TRM/ToolPage.aspx?tid=14874^","FmPro Migrator")</f>
      </c>
      <c r="B2276" s="4" t="s">
        <v>3099</v>
      </c>
      <c r="C2276" s="9" t="s">
        <v>6</v>
      </c>
      <c r="D2276" s="12" t="s">
        <v>3100</v>
      </c>
    </row>
    <row r="2277">
      <c r="A2277" s="5">
        <f>HYPERLINK("https://www.oit.va.gov/Services/TRM/ToolPage.aspx?tid=7973^","FolderSizes")</f>
      </c>
      <c r="B2277" s="4" t="s">
        <v>3101</v>
      </c>
      <c r="C2277" s="9" t="s">
        <v>6</v>
      </c>
      <c r="D2277" s="12" t="s">
        <v>1009</v>
      </c>
    </row>
    <row r="2278">
      <c r="A2278" s="5">
        <f>HYPERLINK("https://www.oit.va.gov/Services/TRM/ToolPage.aspx?tid=8789^","Foresight EDISIM")</f>
      </c>
      <c r="B2278" s="4" t="s">
        <v>679</v>
      </c>
      <c r="C2278" s="9" t="s">
        <v>6</v>
      </c>
      <c r="D2278" s="12" t="s">
        <v>3102</v>
      </c>
    </row>
    <row r="2279">
      <c r="A2279" s="5">
        <f>HYPERLINK("https://www.oit.va.gov/Services/TRM/ToolPage.aspx?tid=13949^","Formlabs PreForm")</f>
      </c>
      <c r="B2279" s="4" t="s">
        <v>3103</v>
      </c>
      <c r="C2279" s="9" t="s">
        <v>6</v>
      </c>
      <c r="D2279" s="12" t="s">
        <v>3104</v>
      </c>
    </row>
    <row r="2280">
      <c r="A2280" s="5">
        <f>HYPERLINK("https://www.oit.va.gov/Services/TRM/ToolPage.aspx?tid=16741^","Frame.io")</f>
      </c>
      <c r="B2280" s="4" t="s">
        <v>3105</v>
      </c>
      <c r="C2280" s="9" t="s">
        <v>6</v>
      </c>
      <c r="D2280" s="12" t="s">
        <v>3106</v>
      </c>
    </row>
    <row r="2281">
      <c r="A2281" s="5">
        <f>HYPERLINK("https://www.oit.va.gov/Services/TRM/ToolPage.aspx?tid=14170^","Free Video Editor")</f>
      </c>
      <c r="B2281" s="4" t="s">
        <v>3107</v>
      </c>
      <c r="C2281" s="9" t="s">
        <v>6</v>
      </c>
      <c r="D2281" s="12" t="s">
        <v>395</v>
      </c>
    </row>
    <row r="2282">
      <c r="A2282" s="5">
        <f>HYPERLINK("https://www.oit.va.gov/Services/TRM/ToolPage.aspx?tid=11714^","FreeStyle Libre")</f>
      </c>
      <c r="B2282" s="4" t="s">
        <v>3108</v>
      </c>
      <c r="C2282" s="9" t="s">
        <v>6</v>
      </c>
      <c r="D2282" s="12" t="s">
        <v>3109</v>
      </c>
    </row>
    <row r="2283">
      <c r="A2283" s="5">
        <f>HYPERLINK("https://www.oit.va.gov/Services/TRM/ToolPage.aspx?tid=8411^","Fusion Cloud")</f>
      </c>
      <c r="B2283" s="4" t="s">
        <v>2639</v>
      </c>
      <c r="C2283" s="9" t="s">
        <v>6</v>
      </c>
      <c r="D2283" s="12" t="s">
        <v>3110</v>
      </c>
    </row>
    <row r="2284">
      <c r="A2284" s="5">
        <f>HYPERLINK("https://www.oit.va.gov/Services/TRM/ToolPage.aspx?tid=8042^","Fusion Voice Player")</f>
      </c>
      <c r="B2284" s="4" t="s">
        <v>3111</v>
      </c>
      <c r="C2284" s="9" t="s">
        <v>6</v>
      </c>
      <c r="D2284" s="12" t="s">
        <v>2582</v>
      </c>
    </row>
    <row r="2285">
      <c r="A2285" s="5">
        <f>HYPERLINK("https://www.oit.va.gov/Services/TRM/ToolPage.aspx?tid=7908^","FusionCharts")</f>
      </c>
      <c r="B2285" s="4" t="s">
        <v>3112</v>
      </c>
      <c r="C2285" s="9" t="s">
        <v>6</v>
      </c>
      <c r="D2285" s="12" t="s">
        <v>3113</v>
      </c>
    </row>
    <row r="2286">
      <c r="A2286" s="5">
        <f>HYPERLINK("https://www.oit.va.gov/Services/TRM/ToolPage.aspx?tid=15175^","GENEActiv")</f>
      </c>
      <c r="B2286" s="4" t="s">
        <v>3114</v>
      </c>
      <c r="C2286" s="9" t="s">
        <v>6</v>
      </c>
      <c r="D2286" s="12" t="s">
        <v>846</v>
      </c>
    </row>
    <row r="2287">
      <c r="A2287" s="5">
        <f>HYPERLINK("https://www.oit.va.gov/Services/TRM/ToolPage.aspx?tid=15374^","General Electric (GE) Advanced Workstation (AW) Server Client")</f>
      </c>
      <c r="B2287" s="4" t="s">
        <v>874</v>
      </c>
      <c r="C2287" s="9" t="s">
        <v>6</v>
      </c>
      <c r="D2287" s="12" t="s">
        <v>3115</v>
      </c>
    </row>
    <row r="2288">
      <c r="A2288" s="5">
        <f>HYPERLINK("https://www.oit.va.gov/Services/TRM/ToolPage.aspx?tid=16735^","Genesys Cloud Background Assistant")</f>
      </c>
      <c r="B2288" s="4" t="s">
        <v>3116</v>
      </c>
      <c r="C2288" s="9" t="s">
        <v>6</v>
      </c>
      <c r="D2288" s="12" t="s">
        <v>3117</v>
      </c>
    </row>
    <row r="2289">
      <c r="A2289" s="5">
        <f>HYPERLINK("https://www.oit.va.gov/Services/TRM/ToolPage.aspx?tid=16726^","Genesys Cloud Desktop Application")</f>
      </c>
      <c r="B2289" s="4" t="s">
        <v>3116</v>
      </c>
      <c r="C2289" s="9" t="s">
        <v>6</v>
      </c>
      <c r="D2289" s="12" t="s">
        <v>3118</v>
      </c>
    </row>
    <row r="2290">
      <c r="A2290" s="5">
        <f>HYPERLINK("https://www.oit.va.gov/Services/TRM/ToolPage.aspx?tid=16602^","Genetec Sipelia")</f>
      </c>
      <c r="B2290" s="4" t="s">
        <v>3119</v>
      </c>
      <c r="C2290" s="9" t="s">
        <v>6</v>
      </c>
      <c r="D2290" s="12" t="s">
        <v>3120</v>
      </c>
    </row>
    <row r="2291">
      <c r="A2291" s="5">
        <f>HYPERLINK("https://www.oit.va.gov/Services/TRM/ToolPage.aspx?tid=7310^","GenoPro")</f>
      </c>
      <c r="B2291" s="4" t="s">
        <v>3121</v>
      </c>
      <c r="C2291" s="9" t="s">
        <v>6</v>
      </c>
      <c r="D2291" s="12" t="s">
        <v>3122</v>
      </c>
    </row>
    <row r="2292">
      <c r="A2292" s="5">
        <f>HYPERLINK("https://www.oit.va.gov/Services/TRM/ToolPage.aspx?tid=15991^","Georgia SoftWorks Universal Terminal Server (UTS)")</f>
      </c>
      <c r="B2292" s="4" t="s">
        <v>3123</v>
      </c>
      <c r="C2292" s="9" t="s">
        <v>6</v>
      </c>
      <c r="D2292" s="12" t="s">
        <v>1088</v>
      </c>
    </row>
    <row r="2293">
      <c r="A2293" s="5">
        <f>HYPERLINK("https://www.oit.va.gov/Services/TRM/ToolPage.aspx?tid=15958^","GetClean")</f>
      </c>
      <c r="B2293" s="4" t="s">
        <v>954</v>
      </c>
      <c r="C2293" s="9" t="s">
        <v>6</v>
      </c>
      <c r="D2293" s="12" t="s">
        <v>3124</v>
      </c>
    </row>
    <row r="2294">
      <c r="A2294" s="5">
        <f>HYPERLINK("https://www.oit.va.gov/Services/TRM/ToolPage.aspx?tid=16451^","Gibson Ridge (GR) 2 Analyst Weather Radar Analytics")</f>
      </c>
      <c r="B2294" s="4" t="s">
        <v>3125</v>
      </c>
      <c r="C2294" s="9" t="s">
        <v>6</v>
      </c>
      <c r="D2294" s="12" t="s">
        <v>3126</v>
      </c>
    </row>
    <row r="2295">
      <c r="A2295" s="5">
        <f>HYPERLINK("https://www.oit.va.gov/Services/TRM/ToolPage.aspx?tid=14863^","Gilian Connect")</f>
      </c>
      <c r="B2295" s="4" t="s">
        <v>3127</v>
      </c>
      <c r="C2295" s="9" t="s">
        <v>6</v>
      </c>
      <c r="D2295" s="12" t="s">
        <v>1209</v>
      </c>
    </row>
    <row r="2296">
      <c r="A2296" s="5">
        <f>HYPERLINK("https://www.oit.va.gov/Services/TRM/ToolPage.aspx?tid=16490^","Gimmal Physical")</f>
      </c>
      <c r="B2296" s="4" t="s">
        <v>3128</v>
      </c>
      <c r="C2296" s="9" t="s">
        <v>6</v>
      </c>
      <c r="D2296" s="12" t="s">
        <v>3129</v>
      </c>
    </row>
    <row r="2297">
      <c r="A2297" s="5">
        <f>HYPERLINK("https://www.oit.va.gov/Services/TRM/ToolPage.aspx?tid=13886^","GitKraken")</f>
      </c>
      <c r="B2297" s="4" t="s">
        <v>3130</v>
      </c>
      <c r="C2297" s="9" t="s">
        <v>6</v>
      </c>
      <c r="D2297" s="12" t="s">
        <v>3063</v>
      </c>
    </row>
    <row r="2298">
      <c r="A2298" s="5">
        <f>HYPERLINK("https://www.oit.va.gov/Services/TRM/ToolPage.aspx?tid=9463^","GitLab Enterprise Edition (EE)")</f>
      </c>
      <c r="B2298" s="4" t="s">
        <v>3131</v>
      </c>
      <c r="C2298" s="9" t="s">
        <v>6</v>
      </c>
      <c r="D2298" s="12" t="s">
        <v>3132</v>
      </c>
    </row>
    <row r="2299">
      <c r="A2299" s="5">
        <f>HYPERLINK("https://www.oit.va.gov/Services/TRM/ToolPage.aspx?tid=14344^","Glink")</f>
      </c>
      <c r="B2299" s="4" t="s">
        <v>3133</v>
      </c>
      <c r="C2299" s="9" t="s">
        <v>6</v>
      </c>
      <c r="D2299" s="12" t="s">
        <v>3134</v>
      </c>
    </row>
    <row r="2300">
      <c r="A2300" s="5">
        <f>HYPERLINK("https://www.oit.va.gov/Services/TRM/ToolPage.aspx?tid=15657^","Global Unique Identifier Tool (GUID)")</f>
      </c>
      <c r="B2300" s="4" t="s">
        <v>3135</v>
      </c>
      <c r="C2300" s="9" t="s">
        <v>6</v>
      </c>
      <c r="D2300" s="12" t="s">
        <v>3136</v>
      </c>
    </row>
    <row r="2301">
      <c r="A2301" s="5">
        <f>HYPERLINK("https://www.oit.va.gov/Services/TRM/ToolPage.aspx?tid=8585^","GlobalMed ClearSteth")</f>
      </c>
      <c r="B2301" s="4" t="s">
        <v>3137</v>
      </c>
      <c r="C2301" s="9" t="s">
        <v>6</v>
      </c>
      <c r="D2301" s="12" t="s">
        <v>2786</v>
      </c>
    </row>
    <row r="2302">
      <c r="A2302" s="5">
        <f>HYPERLINK("https://www.oit.va.gov/Services/TRM/ToolPage.aspx?tid=16824^","Globalscape EFT")</f>
      </c>
      <c r="B2302" s="4" t="s">
        <v>3138</v>
      </c>
      <c r="C2302" s="9" t="s">
        <v>6</v>
      </c>
      <c r="D2302" s="12" t="s">
        <v>3139</v>
      </c>
    </row>
    <row r="2303">
      <c r="A2303" s="5">
        <f>HYPERLINK("https://www.oit.va.gov/Services/TRM/ToolPage.aspx?tid=5620^","Google Earth")</f>
      </c>
      <c r="B2303" s="4" t="s">
        <v>3140</v>
      </c>
      <c r="C2303" s="9" t="s">
        <v>6</v>
      </c>
      <c r="D2303" s="12" t="s">
        <v>3141</v>
      </c>
    </row>
    <row r="2304">
      <c r="A2304" s="5">
        <f>HYPERLINK("https://www.oit.va.gov/Services/TRM/ToolPage.aspx?tid=5988^","Government Retirement and Benefits (GRB) Assist")</f>
      </c>
      <c r="B2304" s="4" t="s">
        <v>3142</v>
      </c>
      <c r="C2304" s="9" t="s">
        <v>6</v>
      </c>
      <c r="D2304" s="12" t="s">
        <v>3143</v>
      </c>
    </row>
    <row r="2305">
      <c r="A2305" s="5">
        <f>HYPERLINK("https://www.oit.va.gov/Services/TRM/ToolPage.aspx?tid=15727^","Government Time and Attendance (GovTA)")</f>
      </c>
      <c r="B2305" s="4" t="s">
        <v>3144</v>
      </c>
      <c r="C2305" s="9" t="s">
        <v>6</v>
      </c>
      <c r="D2305" s="12" t="s">
        <v>3145</v>
      </c>
    </row>
    <row r="2306">
      <c r="A2306" s="5">
        <f>HYPERLINK("https://www.oit.va.gov/Services/TRM/ToolPage.aspx?tid=15380^","GrabCAD Print")</f>
      </c>
      <c r="B2306" s="4" t="s">
        <v>3146</v>
      </c>
      <c r="C2306" s="9" t="s">
        <v>6</v>
      </c>
      <c r="D2306" s="12" t="s">
        <v>3147</v>
      </c>
    </row>
    <row r="2307">
      <c r="A2307" s="5">
        <f>HYPERLINK("https://www.oit.va.gov/Services/TRM/ToolPage.aspx?tid=10426^","Grafana")</f>
      </c>
      <c r="B2307" s="4" t="s">
        <v>3148</v>
      </c>
      <c r="C2307" s="9" t="s">
        <v>6</v>
      </c>
      <c r="D2307" s="12" t="s">
        <v>1015</v>
      </c>
    </row>
    <row r="2308">
      <c r="A2308" s="5">
        <f>HYPERLINK("https://www.oit.va.gov/Services/TRM/ToolPage.aspx?tid=14488^","Grep for Windows")</f>
      </c>
      <c r="B2308" s="4" t="s">
        <v>3149</v>
      </c>
      <c r="C2308" s="9" t="s">
        <v>6</v>
      </c>
      <c r="D2308" s="12" t="s">
        <v>3150</v>
      </c>
    </row>
    <row r="2309">
      <c r="A2309" s="5">
        <f>HYPERLINK("https://www.oit.va.gov/Services/TRM/ToolPage.aspx?tid=15368^","Guldmann Service and Information Console")</f>
      </c>
      <c r="B2309" s="4" t="s">
        <v>3151</v>
      </c>
      <c r="C2309" s="9" t="s">
        <v>6</v>
      </c>
      <c r="D2309" s="12" t="s">
        <v>470</v>
      </c>
    </row>
    <row r="2310">
      <c r="A2310" s="5">
        <f>HYPERLINK("https://www.oit.va.gov/Services/TRM/ToolPage.aspx?tid=16805^","HAIVision Helper")</f>
      </c>
      <c r="B2310" s="4" t="s">
        <v>2878</v>
      </c>
      <c r="C2310" s="9" t="s">
        <v>6</v>
      </c>
      <c r="D2310" s="12" t="s">
        <v>3152</v>
      </c>
    </row>
    <row r="2311">
      <c r="A2311" s="5">
        <f>HYPERLINK("https://www.oit.va.gov/Services/TRM/ToolPage.aspx?tid=14750^","HALO Image Analysis Platform")</f>
      </c>
      <c r="B2311" s="4" t="s">
        <v>3153</v>
      </c>
      <c r="C2311" s="9" t="s">
        <v>6</v>
      </c>
      <c r="D2311" s="12" t="s">
        <v>3154</v>
      </c>
    </row>
    <row r="2312">
      <c r="A2312" s="5">
        <f>HYPERLINK("https://www.oit.va.gov/Services/TRM/ToolPage.aspx?tid=13243^","Ham Radio Deluxe (HRD)")</f>
      </c>
      <c r="B2312" s="4" t="s">
        <v>3155</v>
      </c>
      <c r="C2312" s="9" t="s">
        <v>6</v>
      </c>
      <c r="D2312" s="12" t="s">
        <v>1088</v>
      </c>
    </row>
    <row r="2313">
      <c r="A2313" s="5">
        <f>HYPERLINK("https://www.oit.va.gov/Services/TRM/ToolPage.aspx?tid=8683^","Handheld Laser Particle Counter (LPC) Utility Software")</f>
      </c>
      <c r="B2313" s="4" t="s">
        <v>3156</v>
      </c>
      <c r="C2313" s="9" t="s">
        <v>6</v>
      </c>
      <c r="D2313" s="12" t="s">
        <v>2737</v>
      </c>
    </row>
    <row r="2314">
      <c r="A2314" s="5">
        <f>HYPERLINK("https://www.oit.va.gov/Services/TRM/ToolPage.aspx?tid=16117^","Hasher (EZ Tools)")</f>
      </c>
      <c r="B2314" s="4" t="s">
        <v>2656</v>
      </c>
      <c r="C2314" s="9" t="s">
        <v>6</v>
      </c>
      <c r="D2314" s="12" t="s">
        <v>3157</v>
      </c>
    </row>
    <row r="2315">
      <c r="A2315" s="5">
        <f>HYPERLINK("https://www.oit.va.gov/Services/TRM/ToolPage.aspx?tid=6492^","HCL BigFix")</f>
      </c>
      <c r="B2315" s="4" t="s">
        <v>2756</v>
      </c>
      <c r="C2315" s="9" t="s">
        <v>6</v>
      </c>
      <c r="D2315" s="12" t="s">
        <v>3158</v>
      </c>
    </row>
    <row r="2316">
      <c r="A2316" s="5">
        <f>HYPERLINK("https://www.oit.va.gov/Services/TRM/ToolPage.aspx?tid=7376^","HCL Connections")</f>
      </c>
      <c r="B2316" s="4" t="s">
        <v>2756</v>
      </c>
      <c r="C2316" s="9" t="s">
        <v>6</v>
      </c>
      <c r="D2316" s="12" t="s">
        <v>3159</v>
      </c>
    </row>
    <row r="2317">
      <c r="A2317" s="5">
        <f>HYPERLINK("https://www.oit.va.gov/Services/TRM/ToolPage.aspx?tid=16462^","Healenium")</f>
      </c>
      <c r="B2317" s="4" t="s">
        <v>3160</v>
      </c>
      <c r="C2317" s="9" t="s">
        <v>6</v>
      </c>
      <c r="D2317" s="12" t="s">
        <v>3161</v>
      </c>
    </row>
    <row r="2318">
      <c r="A2318" s="5">
        <f>HYPERLINK("https://www.oit.va.gov/Services/TRM/ToolPage.aspx?tid=10515^","Health Financial Systems (HFS) End Stage Renal Disease (ESRD) Medicare Cost Report (MCR) Software")</f>
      </c>
      <c r="B2318" s="4" t="s">
        <v>3162</v>
      </c>
      <c r="C2318" s="9" t="s">
        <v>6</v>
      </c>
      <c r="D2318" s="12" t="s">
        <v>3163</v>
      </c>
    </row>
    <row r="2319">
      <c r="A2319" s="5">
        <f>HYPERLINK("https://www.oit.va.gov/Services/TRM/ToolPage.aspx?tid=8686^","HealthShare")</f>
      </c>
      <c r="B2319" s="4" t="s">
        <v>1155</v>
      </c>
      <c r="C2319" s="9" t="s">
        <v>6</v>
      </c>
      <c r="D2319" s="12" t="s">
        <v>3164</v>
      </c>
    </row>
    <row r="2320">
      <c r="A2320" s="5">
        <f>HYPERLINK("https://www.oit.va.gov/Services/TRM/ToolPage.aspx?tid=15597^","Heating, Ventilation and Air Conditioning (HVAC) Solution - Professional with Revit Connection")</f>
      </c>
      <c r="B2320" s="4" t="s">
        <v>3165</v>
      </c>
      <c r="C2320" s="9" t="s">
        <v>6</v>
      </c>
      <c r="D2320" s="12" t="s">
        <v>2580</v>
      </c>
    </row>
    <row r="2321">
      <c r="A2321" s="5">
        <f>HYPERLINK("https://www.oit.va.gov/Services/TRM/ToolPage.aspx?tid=15123^","Hewlett Packard (HP) Access Control (HPAC) Print")</f>
      </c>
      <c r="B2321" s="4" t="s">
        <v>302</v>
      </c>
      <c r="C2321" s="9" t="s">
        <v>6</v>
      </c>
      <c r="D2321" s="12" t="s">
        <v>3166</v>
      </c>
    </row>
    <row r="2322">
      <c r="A2322" s="5">
        <f>HYPERLINK("https://www.oit.va.gov/Services/TRM/ToolPage.aspx?tid=15124^","Hewlett Packard (HP) Access Control (HPAC) Scan")</f>
      </c>
      <c r="B2322" s="4" t="s">
        <v>302</v>
      </c>
      <c r="C2322" s="9" t="s">
        <v>6</v>
      </c>
      <c r="D2322" s="12" t="s">
        <v>3166</v>
      </c>
    </row>
    <row r="2323">
      <c r="A2323" s="5">
        <f>HYPERLINK("https://www.oit.va.gov/Services/TRM/ToolPage.aspx?tid=15057^","Hewlett Packard Capture and Route (HPCR)")</f>
      </c>
      <c r="B2323" s="4" t="s">
        <v>302</v>
      </c>
      <c r="C2323" s="9" t="s">
        <v>6</v>
      </c>
      <c r="D2323" s="12" t="s">
        <v>162</v>
      </c>
    </row>
    <row r="2324">
      <c r="A2324" s="5">
        <f>HYPERLINK("https://www.oit.va.gov/Services/TRM/ToolPage.aspx?tid=16406^","Hewlett Packard Enterprise (HPE) Smart Storage Administrator")</f>
      </c>
      <c r="B2324" s="4" t="s">
        <v>302</v>
      </c>
      <c r="C2324" s="9" t="s">
        <v>6</v>
      </c>
      <c r="D2324" s="12" t="s">
        <v>104</v>
      </c>
    </row>
    <row r="2325">
      <c r="A2325" s="5">
        <f>HYPERLINK("https://www.oit.va.gov/Services/TRM/ToolPage.aspx?tid=16116^","HID ActivID Credential Management System")</f>
      </c>
      <c r="B2325" s="4" t="s">
        <v>324</v>
      </c>
      <c r="C2325" s="9" t="s">
        <v>6</v>
      </c>
      <c r="D2325" s="12" t="s">
        <v>1676</v>
      </c>
    </row>
    <row r="2326">
      <c r="A2326" s="5">
        <f>HYPERLINK("https://www.oit.va.gov/Services/TRM/ToolPage.aspx?tid=6761^","Hierarchical Linear and Nonlinear Modeling (HLM)")</f>
      </c>
      <c r="B2326" s="4" t="s">
        <v>3167</v>
      </c>
      <c r="C2326" s="9" t="s">
        <v>6</v>
      </c>
      <c r="D2326" s="12" t="s">
        <v>3168</v>
      </c>
    </row>
    <row r="2327">
      <c r="A2327" s="5">
        <f>HYPERLINK("https://www.oit.va.gov/Services/TRM/ToolPage.aspx?tid=8235^","Highcharts")</f>
      </c>
      <c r="B2327" s="4" t="s">
        <v>3169</v>
      </c>
      <c r="C2327" s="9" t="s">
        <v>6</v>
      </c>
      <c r="D2327" s="12" t="s">
        <v>3170</v>
      </c>
    </row>
    <row r="2328">
      <c r="A2328" s="5">
        <f>HYPERLINK("https://www.oit.va.gov/Services/TRM/ToolPage.aspx?tid=15795^","HistoView")</f>
      </c>
      <c r="B2328" s="4" t="s">
        <v>3171</v>
      </c>
      <c r="C2328" s="9" t="s">
        <v>6</v>
      </c>
      <c r="D2328" s="12" t="s">
        <v>3172</v>
      </c>
    </row>
    <row r="2329">
      <c r="A2329" s="5">
        <f>HYPERLINK("https://www.oit.va.gov/Services/TRM/ToolPage.aspx?tid=10761^","Hitachi Device Manager")</f>
      </c>
      <c r="B2329" s="4" t="s">
        <v>619</v>
      </c>
      <c r="C2329" s="9" t="s">
        <v>6</v>
      </c>
      <c r="D2329" s="12" t="s">
        <v>620</v>
      </c>
    </row>
    <row r="2330">
      <c r="A2330" s="5">
        <f>HYPERLINK("https://www.oit.va.gov/Services/TRM/ToolPage.aspx?tid=10899^","Hitachi Tuning Manager")</f>
      </c>
      <c r="B2330" s="4" t="s">
        <v>619</v>
      </c>
      <c r="C2330" s="9" t="s">
        <v>6</v>
      </c>
      <c r="D2330" s="12" t="s">
        <v>3173</v>
      </c>
    </row>
    <row r="2331">
      <c r="A2331" s="5">
        <f>HYPERLINK("https://www.oit.va.gov/Services/TRM/ToolPage.aspx?tid=10377^","HOBOware")</f>
      </c>
      <c r="B2331" s="4" t="s">
        <v>3174</v>
      </c>
      <c r="C2331" s="9" t="s">
        <v>6</v>
      </c>
      <c r="D2331" s="12" t="s">
        <v>3175</v>
      </c>
    </row>
    <row r="2332">
      <c r="A2332" s="5">
        <f>HYPERLINK("https://www.oit.va.gov/Services/TRM/ToolPage.aspx?tid=14575^","Honeywell Software Download Manager")</f>
      </c>
      <c r="B2332" s="4" t="s">
        <v>2496</v>
      </c>
      <c r="C2332" s="9" t="s">
        <v>6</v>
      </c>
      <c r="D2332" s="12" t="s">
        <v>617</v>
      </c>
    </row>
    <row r="2333">
      <c r="A2333" s="5">
        <f>HYPERLINK("https://www.oit.va.gov/Services/TRM/ToolPage.aspx?tid=16532^","HotDocs Advance")</f>
      </c>
      <c r="B2333" s="4" t="s">
        <v>3176</v>
      </c>
      <c r="C2333" s="9" t="s">
        <v>6</v>
      </c>
      <c r="D2333" s="12" t="s">
        <v>1418</v>
      </c>
    </row>
    <row r="2334">
      <c r="A2334" s="5">
        <f>HYPERLINK("https://www.oit.va.gov/Services/TRM/ToolPage.aspx?tid=14090^","HotDocs Player")</f>
      </c>
      <c r="B2334" s="4" t="s">
        <v>3177</v>
      </c>
      <c r="C2334" s="9" t="s">
        <v>6</v>
      </c>
      <c r="D2334" s="12" t="s">
        <v>3178</v>
      </c>
    </row>
    <row r="2335">
      <c r="A2335" s="5">
        <f>HYPERLINK("https://www.oit.va.gov/Services/TRM/ToolPage.aspx?tid=16771^","Houdini")</f>
      </c>
      <c r="B2335" s="4" t="s">
        <v>3179</v>
      </c>
      <c r="C2335" s="9" t="s">
        <v>6</v>
      </c>
      <c r="D2335" s="12" t="s">
        <v>3075</v>
      </c>
    </row>
    <row r="2336">
      <c r="A2336" s="5">
        <f>HYPERLINK("https://www.oit.va.gov/Services/TRM/ToolPage.aspx?tid=13712^","Hourly Analysis Program (HAP)")</f>
      </c>
      <c r="B2336" s="4" t="s">
        <v>3180</v>
      </c>
      <c r="C2336" s="9" t="s">
        <v>6</v>
      </c>
      <c r="D2336" s="12" t="s">
        <v>3181</v>
      </c>
    </row>
    <row r="2337">
      <c r="A2337" s="5">
        <f>HYPERLINK("https://www.oit.va.gov/Services/TRM/ToolPage.aspx?tid=15128^","HP Device Connect (HP DC)")</f>
      </c>
      <c r="B2337" s="4" t="s">
        <v>302</v>
      </c>
      <c r="C2337" s="9" t="s">
        <v>6</v>
      </c>
      <c r="D2337" s="12" t="s">
        <v>3182</v>
      </c>
    </row>
    <row r="2338">
      <c r="A2338" s="5">
        <f>HYPERLINK("https://www.oit.va.gov/Services/TRM/ToolPage.aspx?tid=15546^","HP LaserJet Pro M479fdw/M479fnw Printer Full Software Solution")</f>
      </c>
      <c r="B2338" s="4" t="s">
        <v>302</v>
      </c>
      <c r="C2338" s="9" t="s">
        <v>6</v>
      </c>
      <c r="D2338" s="12" t="s">
        <v>3183</v>
      </c>
    </row>
    <row r="2339">
      <c r="A2339" s="5">
        <f>HYPERLINK("https://www.oit.va.gov/Services/TRM/ToolPage.aspx?tid=16232^","HP Support Assistant")</f>
      </c>
      <c r="B2339" s="4" t="s">
        <v>2550</v>
      </c>
      <c r="C2339" s="9" t="s">
        <v>6</v>
      </c>
      <c r="D2339" s="12" t="s">
        <v>2608</v>
      </c>
    </row>
    <row r="2340">
      <c r="A2340" s="5">
        <f>HYPERLINK("https://www.oit.va.gov/Services/TRM/ToolPage.aspx?tid=8346^","HP Web Jetadmin")</f>
      </c>
      <c r="B2340" s="4" t="s">
        <v>2550</v>
      </c>
      <c r="C2340" s="9" t="s">
        <v>6</v>
      </c>
      <c r="D2340" s="12" t="s">
        <v>3184</v>
      </c>
    </row>
    <row r="2341">
      <c r="A2341" s="5">
        <f>HYPERLINK("https://www.oit.va.gov/Services/TRM/ToolPage.aspx?tid=14818^","HPE Lights-Out Console (HPLOCONS)")</f>
      </c>
      <c r="B2341" s="4" t="s">
        <v>302</v>
      </c>
      <c r="C2341" s="9" t="s">
        <v>6</v>
      </c>
      <c r="D2341" s="12" t="s">
        <v>3185</v>
      </c>
    </row>
    <row r="2342">
      <c r="A2342" s="5">
        <f>HYPERLINK("https://www.oit.va.gov/Services/TRM/ToolPage.aspx?tid=16749^","Hunchly")</f>
      </c>
      <c r="B2342" s="4" t="s">
        <v>3186</v>
      </c>
      <c r="C2342" s="9" t="s">
        <v>6</v>
      </c>
      <c r="D2342" s="12" t="s">
        <v>3187</v>
      </c>
    </row>
    <row r="2343">
      <c r="A2343" s="5">
        <f>HYPERLINK("https://www.oit.va.gov/Services/TRM/ToolPage.aspx?tid=14707^","HyperSnap")</f>
      </c>
      <c r="B2343" s="4" t="s">
        <v>3188</v>
      </c>
      <c r="C2343" s="9" t="s">
        <v>6</v>
      </c>
      <c r="D2343" s="12" t="s">
        <v>3189</v>
      </c>
    </row>
    <row r="2344">
      <c r="A2344" s="5">
        <f>HYPERLINK("https://www.oit.va.gov/Services/TRM/ToolPage.aspx?tid=15388^","i2 Analyst&amp;#39;s Notebook Premium")</f>
      </c>
      <c r="B2344" s="4" t="s">
        <v>233</v>
      </c>
      <c r="C2344" s="9" t="s">
        <v>6</v>
      </c>
      <c r="D2344" s="12" t="s">
        <v>167</v>
      </c>
    </row>
    <row r="2345">
      <c r="A2345" s="5">
        <f>HYPERLINK("https://www.oit.va.gov/Services/TRM/ToolPage.aspx?tid=16558^","IBM Data Virtualization Manager")</f>
      </c>
      <c r="B2345" s="4" t="s">
        <v>504</v>
      </c>
      <c r="C2345" s="9" t="s">
        <v>6</v>
      </c>
      <c r="D2345" s="12" t="s">
        <v>2623</v>
      </c>
    </row>
    <row r="2346">
      <c r="A2346" s="5">
        <f>HYPERLINK("https://www.oit.va.gov/Services/TRM/ToolPage.aspx?tid=6469^","IBM Maximo Asset Management")</f>
      </c>
      <c r="B2346" s="4" t="s">
        <v>233</v>
      </c>
      <c r="C2346" s="9" t="s">
        <v>6</v>
      </c>
      <c r="D2346" s="12" t="s">
        <v>3190</v>
      </c>
    </row>
    <row r="2347">
      <c r="A2347" s="5">
        <f>HYPERLINK("https://www.oit.va.gov/Services/TRM/ToolPage.aspx?tid=16869^","IBM Z Software Asset Management")</f>
      </c>
      <c r="B2347" s="4" t="s">
        <v>233</v>
      </c>
      <c r="C2347" s="9" t="s">
        <v>6</v>
      </c>
      <c r="D2347" s="12" t="s">
        <v>3191</v>
      </c>
    </row>
    <row r="2348">
      <c r="A2348" s="5">
        <f>HYPERLINK("https://www.oit.va.gov/Services/TRM/ToolPage.aspx?tid=16020^","IBM zMulti-Factor Authentication (zMFA)")</f>
      </c>
      <c r="B2348" s="4" t="s">
        <v>504</v>
      </c>
      <c r="C2348" s="9" t="s">
        <v>6</v>
      </c>
      <c r="D2348" s="12" t="s">
        <v>3192</v>
      </c>
    </row>
    <row r="2349">
      <c r="A2349" s="5">
        <f>HYPERLINK("https://www.oit.va.gov/Services/TRM/ToolPage.aspx?tid=16576^","iBright Analysis Software Desktop")</f>
      </c>
      <c r="B2349" s="4" t="s">
        <v>716</v>
      </c>
      <c r="C2349" s="9" t="s">
        <v>6</v>
      </c>
      <c r="D2349" s="12" t="s">
        <v>3193</v>
      </c>
    </row>
    <row r="2350">
      <c r="A2350" s="5">
        <f>HYPERLINK("https://www.oit.va.gov/Services/TRM/ToolPage.aspx?tid=16557^","iCONECT")</f>
      </c>
      <c r="B2350" s="4" t="s">
        <v>3194</v>
      </c>
      <c r="C2350" s="9" t="s">
        <v>6</v>
      </c>
      <c r="D2350" s="12" t="s">
        <v>2623</v>
      </c>
    </row>
    <row r="2351">
      <c r="A2351" s="5">
        <f>HYPERLINK("https://www.oit.va.gov/Services/TRM/ToolPage.aspx?tid=7992^","Idera Structured Query Language (SQL) Inventory Manager")</f>
      </c>
      <c r="B2351" s="4" t="s">
        <v>1034</v>
      </c>
      <c r="C2351" s="9" t="s">
        <v>6</v>
      </c>
      <c r="D2351" s="12" t="s">
        <v>206</v>
      </c>
    </row>
    <row r="2352">
      <c r="A2352" s="5">
        <f>HYPERLINK("https://www.oit.va.gov/Services/TRM/ToolPage.aspx?tid=13101^","IGEL Universal Management Suite (UMS)")</f>
      </c>
      <c r="B2352" s="4" t="s">
        <v>3195</v>
      </c>
      <c r="C2352" s="9" t="s">
        <v>6</v>
      </c>
      <c r="D2352" s="12" t="s">
        <v>3196</v>
      </c>
    </row>
    <row r="2353">
      <c r="A2353" s="5">
        <f>HYPERLINK("https://www.oit.va.gov/Services/TRM/ToolPage.aspx?tid=16640^","Ignition Supervisory Control and Data Acquisition (SCADA)")</f>
      </c>
      <c r="B2353" s="4" t="s">
        <v>3197</v>
      </c>
      <c r="C2353" s="9" t="s">
        <v>6</v>
      </c>
      <c r="D2353" s="12" t="s">
        <v>3198</v>
      </c>
    </row>
    <row r="2354">
      <c r="A2354" s="5">
        <f>HYPERLINK("https://www.oit.va.gov/Services/TRM/ToolPage.aspx?tid=8657^","Image Capture Plus")</f>
      </c>
      <c r="B2354" s="4" t="s">
        <v>2150</v>
      </c>
      <c r="C2354" s="9" t="s">
        <v>6</v>
      </c>
      <c r="D2354" s="12" t="s">
        <v>1059</v>
      </c>
    </row>
    <row r="2355">
      <c r="A2355" s="5">
        <f>HYPERLINK("https://www.oit.va.gov/Services/TRM/ToolPage.aspx?tid=9405^","Image Lab Software")</f>
      </c>
      <c r="B2355" s="4" t="s">
        <v>827</v>
      </c>
      <c r="C2355" s="9" t="s">
        <v>6</v>
      </c>
      <c r="D2355" s="12" t="s">
        <v>3199</v>
      </c>
    </row>
    <row r="2356">
      <c r="A2356" s="5">
        <f>HYPERLINK("https://www.oit.va.gov/Services/TRM/ToolPage.aspx?tid=5131^","ImageGear Software Development Kit (SDK)")</f>
      </c>
      <c r="B2356" s="4" t="s">
        <v>3200</v>
      </c>
      <c r="C2356" s="9" t="s">
        <v>6</v>
      </c>
      <c r="D2356" s="12" t="s">
        <v>3201</v>
      </c>
    </row>
    <row r="2357">
      <c r="A2357" s="5">
        <f>HYPERLINK("https://www.oit.va.gov/Services/TRM/ToolPage.aspx?tid=7810^","Image-Pro")</f>
      </c>
      <c r="B2357" s="4" t="s">
        <v>3202</v>
      </c>
      <c r="C2357" s="9" t="s">
        <v>6</v>
      </c>
      <c r="D2357" s="12" t="s">
        <v>43</v>
      </c>
    </row>
    <row r="2358">
      <c r="A2358" s="5">
        <f>HYPERLINK("https://www.oit.va.gov/Services/TRM/ToolPage.aspx?tid=11625^","imageWARE Enterprise Management Console (EMC)")</f>
      </c>
      <c r="B2358" s="4" t="s">
        <v>1108</v>
      </c>
      <c r="C2358" s="9" t="s">
        <v>6</v>
      </c>
      <c r="D2358" s="12" t="s">
        <v>3203</v>
      </c>
    </row>
    <row r="2359">
      <c r="A2359" s="5">
        <f>HYPERLINK("https://www.oit.va.gov/Services/TRM/ToolPage.aspx?tid=11165^","Imaging Development Systems (IDS) Software Suite")</f>
      </c>
      <c r="B2359" s="4" t="s">
        <v>3204</v>
      </c>
      <c r="C2359" s="9" t="s">
        <v>6</v>
      </c>
      <c r="D2359" s="12" t="s">
        <v>3205</v>
      </c>
    </row>
    <row r="2360">
      <c r="A2360" s="5">
        <f>HYPERLINK("https://www.oit.va.gov/Services/TRM/ToolPage.aspx?tid=16861^","Imaging Edge Desktop")</f>
      </c>
      <c r="B2360" s="4" t="s">
        <v>3206</v>
      </c>
      <c r="C2360" s="9" t="s">
        <v>6</v>
      </c>
      <c r="D2360" s="12" t="s">
        <v>2102</v>
      </c>
    </row>
    <row r="2361">
      <c r="A2361" s="5">
        <f>HYPERLINK("https://www.oit.va.gov/Services/TRM/ToolPage.aspx?tid=11025^","IMAGINiT Utilities for Revit")</f>
      </c>
      <c r="B2361" s="4" t="s">
        <v>3207</v>
      </c>
      <c r="C2361" s="9" t="s">
        <v>6</v>
      </c>
      <c r="D2361" s="12" t="s">
        <v>3178</v>
      </c>
    </row>
    <row r="2362">
      <c r="A2362" s="5">
        <f>HYPERLINK("https://www.oit.va.gov/Services/TRM/ToolPage.aspx?tid=16803^","iMedConsent Web (ICW)")</f>
      </c>
      <c r="B2362" s="4" t="s">
        <v>1110</v>
      </c>
      <c r="C2362" s="9" t="s">
        <v>6</v>
      </c>
      <c r="D2362" s="12" t="s">
        <v>3208</v>
      </c>
    </row>
    <row r="2363">
      <c r="A2363" s="5">
        <f>HYPERLINK("https://www.oit.va.gov/Services/TRM/ToolPage.aspx?tid=7638^","Impact 360 Call Recording")</f>
      </c>
      <c r="B2363" s="4" t="s">
        <v>3209</v>
      </c>
      <c r="C2363" s="9" t="s">
        <v>6</v>
      </c>
      <c r="D2363" s="12" t="s">
        <v>3210</v>
      </c>
    </row>
    <row r="2364">
      <c r="A2364" s="5">
        <f>HYPERLINK("https://www.oit.va.gov/Services/TRM/ToolPage.aspx?tid=16739^","ImportExcel PowerShell Module")</f>
      </c>
      <c r="B2364" s="4" t="s">
        <v>3211</v>
      </c>
      <c r="C2364" s="9" t="s">
        <v>6</v>
      </c>
      <c r="D2364" s="12" t="s">
        <v>3212</v>
      </c>
    </row>
    <row r="2365">
      <c r="A2365" s="5">
        <f>HYPERLINK("https://www.oit.va.gov/Services/TRM/ToolPage.aspx?tid=12878^","Incident Resource Inventory System (IRIS)")</f>
      </c>
      <c r="B2365" s="4" t="s">
        <v>3213</v>
      </c>
      <c r="C2365" s="9" t="s">
        <v>6</v>
      </c>
      <c r="D2365" s="12" t="s">
        <v>3214</v>
      </c>
    </row>
    <row r="2366">
      <c r="A2366" s="5">
        <f>HYPERLINK("https://www.oit.va.gov/Services/TRM/ToolPage.aspx?tid=8625^","Inform.NET")</f>
      </c>
      <c r="B2366" s="4" t="s">
        <v>3215</v>
      </c>
      <c r="C2366" s="9" t="s">
        <v>6</v>
      </c>
      <c r="D2366" s="12" t="s">
        <v>3216</v>
      </c>
    </row>
    <row r="2367">
      <c r="A2367" s="5">
        <f>HYPERLINK("https://www.oit.va.gov/Services/TRM/ToolPage.aspx?tid=10132^","Infortel Select")</f>
      </c>
      <c r="B2367" s="4" t="s">
        <v>3217</v>
      </c>
      <c r="C2367" s="9" t="s">
        <v>6</v>
      </c>
      <c r="D2367" s="12" t="s">
        <v>3218</v>
      </c>
    </row>
    <row r="2368">
      <c r="A2368" s="5">
        <f>HYPERLINK("https://www.oit.va.gov/Services/TRM/ToolPage.aspx?tid=11409^","Insight Diagnostics")</f>
      </c>
      <c r="B2368" s="4" t="s">
        <v>302</v>
      </c>
      <c r="C2368" s="9" t="s">
        <v>6</v>
      </c>
      <c r="D2368" s="12" t="s">
        <v>3219</v>
      </c>
    </row>
    <row r="2369">
      <c r="A2369" s="5">
        <f>HYPERLINK("https://www.oit.va.gov/Services/TRM/ToolPage.aspx?tid=14024^","Inspiration 11")</f>
      </c>
      <c r="B2369" s="4" t="s">
        <v>3220</v>
      </c>
      <c r="C2369" s="9" t="s">
        <v>6</v>
      </c>
      <c r="D2369" s="12" t="s">
        <v>3221</v>
      </c>
    </row>
    <row r="2370">
      <c r="A2370" s="5">
        <f>HYPERLINK("https://www.oit.va.gov/Services/TRM/ToolPage.aspx?tid=16083^","Inspirstar Profile Editor")</f>
      </c>
      <c r="B2370" s="4" t="s">
        <v>3222</v>
      </c>
      <c r="C2370" s="9" t="s">
        <v>6</v>
      </c>
      <c r="D2370" s="12" t="s">
        <v>2608</v>
      </c>
    </row>
    <row r="2371">
      <c r="A2371" s="5">
        <f>HYPERLINK("https://www.oit.va.gov/Services/TRM/ToolPage.aspx?tid=7911^","Instrument Manager (IM)")</f>
      </c>
      <c r="B2371" s="4" t="s">
        <v>2049</v>
      </c>
      <c r="C2371" s="9" t="s">
        <v>6</v>
      </c>
      <c r="D2371" s="12" t="s">
        <v>1755</v>
      </c>
    </row>
    <row r="2372">
      <c r="A2372" s="5">
        <f>HYPERLINK("https://www.oit.va.gov/Services/TRM/ToolPage.aspx?tid=8106^","integrated Dell Remote Access Controller (iDRAC)")</f>
      </c>
      <c r="B2372" s="4" t="s">
        <v>68</v>
      </c>
      <c r="C2372" s="9" t="s">
        <v>6</v>
      </c>
      <c r="D2372" s="12" t="s">
        <v>3223</v>
      </c>
    </row>
    <row r="2373">
      <c r="A2373" s="5">
        <f>HYPERLINK("https://www.oit.va.gov/Services/TRM/ToolPage.aspx?tid=8880^","Integrated Research (IR) Prognosis")</f>
      </c>
      <c r="B2373" s="4" t="s">
        <v>3224</v>
      </c>
      <c r="C2373" s="9" t="s">
        <v>6</v>
      </c>
      <c r="D2373" s="12" t="s">
        <v>3225</v>
      </c>
    </row>
    <row r="2374">
      <c r="A2374" s="5">
        <f>HYPERLINK("https://www.oit.va.gov/Services/TRM/ToolPage.aspx?tid=10191^","Intelicode Physicians At Teaching Hospitals (P.A.T.H.)")</f>
      </c>
      <c r="B2374" s="4" t="s">
        <v>3226</v>
      </c>
      <c r="C2374" s="9" t="s">
        <v>6</v>
      </c>
      <c r="D2374" s="12" t="s">
        <v>947</v>
      </c>
    </row>
    <row r="2375">
      <c r="A2375" s="5">
        <f>HYPERLINK("https://www.oit.va.gov/Services/TRM/ToolPage.aspx?tid=15201^","IntelliSys")</f>
      </c>
      <c r="B2375" s="4" t="s">
        <v>762</v>
      </c>
      <c r="C2375" s="9" t="s">
        <v>6</v>
      </c>
      <c r="D2375" s="12" t="s">
        <v>3227</v>
      </c>
    </row>
    <row r="2376">
      <c r="A2376" s="5">
        <f>HYPERLINK("https://www.oit.va.gov/Services/TRM/ToolPage.aspx?tid=13904^","IntelliTRIAL")</f>
      </c>
      <c r="B2376" s="4" t="s">
        <v>3228</v>
      </c>
      <c r="C2376" s="9" t="s">
        <v>6</v>
      </c>
      <c r="D2376" s="12" t="s">
        <v>1059</v>
      </c>
    </row>
    <row r="2377">
      <c r="A2377" s="5">
        <f>HYPERLINK("https://www.oit.va.gov/Services/TRM/ToolPage.aspx?tid=10398^","IntelliVue Monitor Support Tool")</f>
      </c>
      <c r="B2377" s="4" t="s">
        <v>919</v>
      </c>
      <c r="C2377" s="9" t="s">
        <v>6</v>
      </c>
      <c r="D2377" s="12" t="s">
        <v>3229</v>
      </c>
    </row>
    <row r="2378">
      <c r="A2378" s="5">
        <f>HYPERLINK("https://www.oit.va.gov/Services/TRM/ToolPage.aspx?tid=5632^","InterBase")</f>
      </c>
      <c r="B2378" s="4" t="s">
        <v>1828</v>
      </c>
      <c r="C2378" s="9" t="s">
        <v>6</v>
      </c>
      <c r="D2378" s="12" t="s">
        <v>3230</v>
      </c>
    </row>
    <row r="2379">
      <c r="A2379" s="5">
        <f>HYPERLINK("https://www.oit.va.gov/Services/TRM/ToolPage.aspx?tid=15096^","Intergrated Security Tool (IST)")</f>
      </c>
      <c r="B2379" s="4" t="s">
        <v>919</v>
      </c>
      <c r="C2379" s="9" t="s">
        <v>6</v>
      </c>
      <c r="D2379" s="12" t="s">
        <v>3231</v>
      </c>
    </row>
    <row r="2380">
      <c r="A2380" s="5">
        <f>HYPERLINK("https://www.oit.va.gov/Services/TRM/ToolPage.aspx?tid=6548^","International Business Machine (IBM) Sterling Connect:Direct")</f>
      </c>
      <c r="B2380" s="4" t="s">
        <v>233</v>
      </c>
      <c r="C2380" s="9" t="s">
        <v>6</v>
      </c>
      <c r="D2380" s="12" t="s">
        <v>3232</v>
      </c>
    </row>
    <row r="2381">
      <c r="A2381" s="5">
        <f>HYPERLINK("https://www.oit.va.gov/Services/TRM/ToolPage.aspx?tid=5074^","International Business Machines (IBM) InfoSphere Data Architect")</f>
      </c>
      <c r="B2381" s="4" t="s">
        <v>233</v>
      </c>
      <c r="C2381" s="9" t="s">
        <v>6</v>
      </c>
      <c r="D2381" s="12" t="s">
        <v>3233</v>
      </c>
    </row>
    <row r="2382">
      <c r="A2382" s="5">
        <f>HYPERLINK("https://www.oit.va.gov/Services/TRM/ToolPage.aspx?tid=11095^","International Business Machines (IBM) Installation Manager")</f>
      </c>
      <c r="B2382" s="4" t="s">
        <v>233</v>
      </c>
      <c r="C2382" s="9" t="s">
        <v>6</v>
      </c>
      <c r="D2382" s="12" t="s">
        <v>3234</v>
      </c>
    </row>
    <row r="2383">
      <c r="A2383" s="5">
        <f>HYPERLINK("https://www.oit.va.gov/Services/TRM/ToolPage.aspx?tid=6202^","International Business Machines (IBM) Security Directory Server")</f>
      </c>
      <c r="B2383" s="4" t="s">
        <v>233</v>
      </c>
      <c r="C2383" s="9" t="s">
        <v>6</v>
      </c>
      <c r="D2383" s="12" t="s">
        <v>3235</v>
      </c>
    </row>
    <row r="2384">
      <c r="A2384" s="5">
        <f>HYPERLINK("https://www.oit.va.gov/Services/TRM/ToolPage.aspx?tid=5852^","International Business Machines (IBM) Security Verify Access Management")</f>
      </c>
      <c r="B2384" s="4" t="s">
        <v>233</v>
      </c>
      <c r="C2384" s="9" t="s">
        <v>6</v>
      </c>
      <c r="D2384" s="12" t="s">
        <v>3236</v>
      </c>
    </row>
    <row r="2385">
      <c r="A2385" s="5">
        <f>HYPERLINK("https://www.oit.va.gov/Services/TRM/ToolPage.aspx?tid=9849^","International Business Machines (IBM) Spectrum Load Sharing Facility (LSF)")</f>
      </c>
      <c r="B2385" s="4" t="s">
        <v>233</v>
      </c>
      <c r="C2385" s="9" t="s">
        <v>6</v>
      </c>
      <c r="D2385" s="12" t="s">
        <v>3237</v>
      </c>
    </row>
    <row r="2386">
      <c r="A2386" s="5">
        <f>HYPERLINK("https://www.oit.va.gov/Services/TRM/ToolPage.aspx?tid=14601^","International Business Machines (IBM) Sterling Control Center")</f>
      </c>
      <c r="B2386" s="4" t="s">
        <v>233</v>
      </c>
      <c r="C2386" s="9" t="s">
        <v>6</v>
      </c>
      <c r="D2386" s="12" t="s">
        <v>3238</v>
      </c>
    </row>
    <row r="2387">
      <c r="A2387" s="5">
        <f>HYPERLINK("https://www.oit.va.gov/Services/TRM/ToolPage.aspx?tid=14597^","International Business Machines (IBM) Transformation Extender Advanced (ITXA)")</f>
      </c>
      <c r="B2387" s="4" t="s">
        <v>233</v>
      </c>
      <c r="C2387" s="9" t="s">
        <v>6</v>
      </c>
      <c r="D2387" s="12" t="s">
        <v>3239</v>
      </c>
    </row>
    <row r="2388">
      <c r="A2388" s="5">
        <f>HYPERLINK("https://www.oit.va.gov/Services/TRM/ToolPage.aspx?tid=16276^","International Business Machines (IBM) TRIRIGA")</f>
      </c>
      <c r="B2388" s="4" t="s">
        <v>504</v>
      </c>
      <c r="C2388" s="9" t="s">
        <v>6</v>
      </c>
      <c r="D2388" s="12" t="s">
        <v>3240</v>
      </c>
    </row>
    <row r="2389">
      <c r="A2389" s="5">
        <f>HYPERLINK("https://www.oit.va.gov/Services/TRM/ToolPage.aspx?tid=10094^","Internet Information Services (IIS) Crypto")</f>
      </c>
      <c r="B2389" s="4" t="s">
        <v>3241</v>
      </c>
      <c r="C2389" s="9" t="s">
        <v>6</v>
      </c>
      <c r="D2389" s="12" t="s">
        <v>3242</v>
      </c>
    </row>
    <row r="2390">
      <c r="A2390" s="5">
        <f>HYPERLINK("https://www.oit.va.gov/Services/TRM/ToolPage.aspx?tid=13073^","Internet Protocol (IP) Subnet Calculator")</f>
      </c>
      <c r="B2390" s="4" t="s">
        <v>3243</v>
      </c>
      <c r="C2390" s="9" t="s">
        <v>6</v>
      </c>
      <c r="D2390" s="12" t="s">
        <v>3244</v>
      </c>
    </row>
    <row r="2391">
      <c r="A2391" s="5">
        <f>HYPERLINK("https://www.oit.va.gov/Services/TRM/ToolPage.aspx?tid=11581^","Internet Protocol Address Manager (IPAM)")</f>
      </c>
      <c r="B2391" s="4" t="s">
        <v>431</v>
      </c>
      <c r="C2391" s="9" t="s">
        <v>6</v>
      </c>
      <c r="D2391" s="12" t="s">
        <v>3016</v>
      </c>
    </row>
    <row r="2392">
      <c r="A2392" s="5">
        <f>HYPERLINK("https://www.oit.va.gov/Services/TRM/ToolPage.aspx?tid=15102^","Invistics Drug Diversion Detection (Flowlytics)")</f>
      </c>
      <c r="B2392" s="4" t="s">
        <v>1240</v>
      </c>
      <c r="C2392" s="9" t="s">
        <v>6</v>
      </c>
      <c r="D2392" s="12" t="s">
        <v>1446</v>
      </c>
    </row>
    <row r="2393">
      <c r="A2393" s="5">
        <f>HYPERLINK("https://www.oit.va.gov/Services/TRM/ToolPage.aspx?tid=11178^","Invivo Lung Cancer Screening (LCS)")</f>
      </c>
      <c r="B2393" s="4" t="s">
        <v>1003</v>
      </c>
      <c r="C2393" s="9" t="s">
        <v>6</v>
      </c>
      <c r="D2393" s="12" t="s">
        <v>3245</v>
      </c>
    </row>
    <row r="2394">
      <c r="A2394" s="5">
        <f>HYPERLINK("https://www.oit.va.gov/Services/TRM/ToolPage.aspx?tid=16185^","iObserver Patient Observation Software")</f>
      </c>
      <c r="B2394" s="4" t="s">
        <v>2808</v>
      </c>
      <c r="C2394" s="9" t="s">
        <v>6</v>
      </c>
      <c r="D2394" s="12" t="s">
        <v>2105</v>
      </c>
    </row>
    <row r="2395">
      <c r="A2395" s="5">
        <f>HYPERLINK("https://www.oit.va.gov/Services/TRM/ToolPage.aspx?tid=13945^","iParc Professional")</f>
      </c>
      <c r="B2395" s="4" t="s">
        <v>3246</v>
      </c>
      <c r="C2395" s="9" t="s">
        <v>6</v>
      </c>
      <c r="D2395" s="12" t="s">
        <v>3247</v>
      </c>
    </row>
    <row r="2396">
      <c r="A2396" s="5">
        <f>HYPERLINK("https://www.oit.va.gov/Services/TRM/ToolPage.aspx?tid=16745^","iperf for Windows")</f>
      </c>
      <c r="B2396" s="4" t="s">
        <v>3248</v>
      </c>
      <c r="C2396" s="9" t="s">
        <v>6</v>
      </c>
      <c r="D2396" s="12" t="s">
        <v>3249</v>
      </c>
    </row>
    <row r="2397">
      <c r="A2397" s="5">
        <f>HYPERLINK("https://www.oit.va.gov/Services/TRM/ToolPage.aspx?tid=14102^","IPV Curator")</f>
      </c>
      <c r="B2397" s="4" t="s">
        <v>3250</v>
      </c>
      <c r="C2397" s="9" t="s">
        <v>6</v>
      </c>
      <c r="D2397" s="12" t="s">
        <v>384</v>
      </c>
    </row>
    <row r="2398">
      <c r="A2398" s="5">
        <f>HYPERLINK("https://www.oit.va.gov/Services/TRM/ToolPage.aspx?tid=6464^","IronKey Enterprise Management Service (EMS)")</f>
      </c>
      <c r="B2398" s="4" t="s">
        <v>3251</v>
      </c>
      <c r="C2398" s="9" t="s">
        <v>6</v>
      </c>
      <c r="D2398" s="12" t="s">
        <v>3252</v>
      </c>
    </row>
    <row r="2399">
      <c r="A2399" s="5">
        <f>HYPERLINK("https://www.oit.va.gov/Services/TRM/ToolPage.aspx?tid=15250^","iRound for Patient Experience")</f>
      </c>
      <c r="B2399" s="4" t="s">
        <v>3253</v>
      </c>
      <c r="C2399" s="9" t="s">
        <v>6</v>
      </c>
      <c r="D2399" s="12" t="s">
        <v>79</v>
      </c>
    </row>
    <row r="2400">
      <c r="A2400" s="5">
        <f>HYPERLINK("https://www.oit.va.gov/Services/TRM/ToolPage.aspx?tid=15665^","ISGUS Zeus X")</f>
      </c>
      <c r="B2400" s="4" t="s">
        <v>3254</v>
      </c>
      <c r="C2400" s="9" t="s">
        <v>6</v>
      </c>
      <c r="D2400" s="12" t="s">
        <v>1092</v>
      </c>
    </row>
    <row r="2401">
      <c r="A2401" s="5">
        <f>HYPERLINK("https://www.oit.va.gov/Services/TRM/ToolPage.aspx?tid=16847^","iSpring")</f>
      </c>
      <c r="B2401" s="4" t="s">
        <v>3255</v>
      </c>
      <c r="C2401" s="9" t="s">
        <v>6</v>
      </c>
      <c r="D2401" s="12" t="s">
        <v>3256</v>
      </c>
    </row>
    <row r="2402">
      <c r="A2402" s="5">
        <f>HYPERLINK("https://www.oit.va.gov/Services/TRM/ToolPage.aspx?tid=13953^","Ivanti Avalanche")</f>
      </c>
      <c r="B2402" s="4" t="s">
        <v>2042</v>
      </c>
      <c r="C2402" s="9" t="s">
        <v>6</v>
      </c>
      <c r="D2402" s="12" t="s">
        <v>3257</v>
      </c>
    </row>
    <row r="2403">
      <c r="A2403" s="5">
        <f>HYPERLINK("https://www.oit.va.gov/Services/TRM/ToolPage.aspx?tid=15611^","Ivanti Security Controls")</f>
      </c>
      <c r="B2403" s="4" t="s">
        <v>2042</v>
      </c>
      <c r="C2403" s="9" t="s">
        <v>6</v>
      </c>
      <c r="D2403" s="12" t="s">
        <v>3258</v>
      </c>
    </row>
    <row r="2404">
      <c r="A2404" s="5">
        <f>HYPERLINK("https://www.oit.va.gov/Services/TRM/ToolPage.aspx?tid=15939^","ivShopScanner")</f>
      </c>
      <c r="B2404" s="4" t="s">
        <v>3259</v>
      </c>
      <c r="C2404" s="9" t="s">
        <v>6</v>
      </c>
      <c r="D2404" s="12" t="s">
        <v>3034</v>
      </c>
    </row>
    <row r="2405">
      <c r="A2405" s="5">
        <f>HYPERLINK("https://www.oit.va.gov/Services/TRM/ToolPage.aspx?tid=16874^","IX Support Tool")</f>
      </c>
      <c r="B2405" s="4" t="s">
        <v>3260</v>
      </c>
      <c r="C2405" s="9" t="s">
        <v>6</v>
      </c>
      <c r="D2405" s="12" t="s">
        <v>3261</v>
      </c>
    </row>
    <row r="2406">
      <c r="A2406" s="5">
        <f>HYPERLINK("https://www.oit.va.gov/Services/TRM/ToolPage.aspx?tid=8062^","Jasmine")</f>
      </c>
      <c r="B2406" s="4" t="s">
        <v>3262</v>
      </c>
      <c r="C2406" s="9" t="s">
        <v>6</v>
      </c>
      <c r="D2406" s="12" t="s">
        <v>1339</v>
      </c>
    </row>
    <row r="2407">
      <c r="A2407" s="5">
        <f>HYPERLINK("https://www.oit.va.gov/Services/TRM/ToolPage.aspx?tid=14548^","Java Enterprise Edition SDK (Software Development Kit)")</f>
      </c>
      <c r="B2407" s="4" t="s">
        <v>136</v>
      </c>
      <c r="C2407" s="9" t="s">
        <v>6</v>
      </c>
      <c r="D2407" s="12" t="s">
        <v>3263</v>
      </c>
    </row>
    <row r="2408">
      <c r="A2408" s="5">
        <f>HYPERLINK("https://www.oit.va.gov/Services/TRM/ToolPage.aspx?tid=10618^","JavaScript Object Notation (JSON).NET")</f>
      </c>
      <c r="B2408" s="4" t="s">
        <v>3264</v>
      </c>
      <c r="C2408" s="9" t="s">
        <v>6</v>
      </c>
      <c r="D2408" s="12" t="s">
        <v>3265</v>
      </c>
    </row>
    <row r="2409">
      <c r="A2409" s="5">
        <f>HYPERLINK("https://www.oit.va.gov/Services/TRM/ToolPage.aspx?tid=6397^","Jenkins Continuous Integration Server")</f>
      </c>
      <c r="B2409" s="4" t="s">
        <v>3266</v>
      </c>
      <c r="C2409" s="9" t="s">
        <v>6</v>
      </c>
      <c r="D2409" s="12" t="s">
        <v>3267</v>
      </c>
    </row>
    <row r="2410">
      <c r="A2410" s="5">
        <f>HYPERLINK("https://www.oit.va.gov/Services/TRM/ToolPage.aspx?tid=14269^","Jira Align")</f>
      </c>
      <c r="B2410" s="4" t="s">
        <v>829</v>
      </c>
      <c r="C2410" s="9" t="s">
        <v>6</v>
      </c>
      <c r="D2410" s="12" t="s">
        <v>3268</v>
      </c>
    </row>
    <row r="2411">
      <c r="A2411" s="5">
        <f>HYPERLINK("https://www.oit.va.gov/Services/TRM/ToolPage.aspx?tid=7867^","Job Access and Management System (JAMS) Enterprise Job Scheduling")</f>
      </c>
      <c r="B2411" s="4" t="s">
        <v>3269</v>
      </c>
      <c r="C2411" s="9" t="s">
        <v>6</v>
      </c>
      <c r="D2411" s="12" t="s">
        <v>3270</v>
      </c>
    </row>
    <row r="2412">
      <c r="A2412" s="5">
        <f>HYPERLINK("https://www.oit.va.gov/Services/TRM/ToolPage.aspx?tid=14128^","Johnson Controls Metasys Graphics Generation Tool (GGT)")</f>
      </c>
      <c r="B2412" s="4" t="s">
        <v>2553</v>
      </c>
      <c r="C2412" s="9" t="s">
        <v>6</v>
      </c>
      <c r="D2412" s="12" t="s">
        <v>3271</v>
      </c>
    </row>
    <row r="2413">
      <c r="A2413" s="5">
        <f>HYPERLINK("https://www.oit.va.gov/Services/TRM/ToolPage.aspx?tid=10126^","Johnson, Roberts and Associates (JRA) Test Scoring System")</f>
      </c>
      <c r="B2413" s="4" t="s">
        <v>3272</v>
      </c>
      <c r="C2413" s="9" t="s">
        <v>6</v>
      </c>
      <c r="D2413" s="12" t="s">
        <v>3273</v>
      </c>
    </row>
    <row r="2414">
      <c r="A2414" s="5">
        <f>HYPERLINK("https://www.oit.va.gov/Services/TRM/ToolPage.aspx?tid=14015^","Joinpoint")</f>
      </c>
      <c r="B2414" s="4" t="s">
        <v>3274</v>
      </c>
      <c r="C2414" s="9" t="s">
        <v>6</v>
      </c>
      <c r="D2414" s="12" t="s">
        <v>3275</v>
      </c>
    </row>
    <row r="2415">
      <c r="A2415" s="5">
        <f>HYPERLINK("https://www.oit.va.gov/Services/TRM/ToolPage.aspx?tid=9695^","J-Say")</f>
      </c>
      <c r="B2415" s="4" t="s">
        <v>3276</v>
      </c>
      <c r="C2415" s="9" t="s">
        <v>6</v>
      </c>
      <c r="D2415" s="12" t="s">
        <v>935</v>
      </c>
    </row>
    <row r="2416">
      <c r="A2416" s="5">
        <f>HYPERLINK("https://www.oit.va.gov/Services/TRM/ToolPage.aspx?tid=7054^","Jscape Managed File Transfer (MFT) Server")</f>
      </c>
      <c r="B2416" s="4" t="s">
        <v>3277</v>
      </c>
      <c r="C2416" s="9" t="s">
        <v>6</v>
      </c>
      <c r="D2416" s="12" t="s">
        <v>1294</v>
      </c>
    </row>
    <row r="2417">
      <c r="A2417" s="5">
        <f>HYPERLINK("https://www.oit.va.gov/Services/TRM/ToolPage.aspx?tid=9690^","JsDiff")</f>
      </c>
      <c r="B2417" s="4" t="s">
        <v>3278</v>
      </c>
      <c r="C2417" s="9" t="s">
        <v>6</v>
      </c>
      <c r="D2417" s="12" t="s">
        <v>3279</v>
      </c>
    </row>
    <row r="2418">
      <c r="A2418" s="5">
        <f>HYPERLINK("https://www.oit.va.gov/Services/TRM/ToolPage.aspx?tid=10650^","Judi by AG Mednet")</f>
      </c>
      <c r="B2418" s="4" t="s">
        <v>3280</v>
      </c>
      <c r="C2418" s="9" t="s">
        <v>6</v>
      </c>
      <c r="D2418" s="12" t="s">
        <v>1423</v>
      </c>
    </row>
    <row r="2419">
      <c r="A2419" s="5">
        <f>HYPERLINK("https://www.oit.va.gov/Services/TRM/ToolPage.aspx?tid=8226^","JumpMind SymmetricDS")</f>
      </c>
      <c r="B2419" s="4" t="s">
        <v>3281</v>
      </c>
      <c r="C2419" s="9" t="s">
        <v>6</v>
      </c>
      <c r="D2419" s="12" t="s">
        <v>3282</v>
      </c>
    </row>
    <row r="2420">
      <c r="A2420" s="5">
        <f>HYPERLINK("https://www.oit.va.gov/Services/TRM/ToolPage.aspx?tid=16318^","Kahua")</f>
      </c>
      <c r="B2420" s="4" t="s">
        <v>3283</v>
      </c>
      <c r="C2420" s="9" t="s">
        <v>6</v>
      </c>
      <c r="D2420" s="12" t="s">
        <v>3284</v>
      </c>
    </row>
    <row r="2421">
      <c r="A2421" s="5">
        <f>HYPERLINK("https://www.oit.va.gov/Services/TRM/ToolPage.aspx?tid=15581^","Kardex Power Pick Global")</f>
      </c>
      <c r="B2421" s="4" t="s">
        <v>3285</v>
      </c>
      <c r="C2421" s="9" t="s">
        <v>6</v>
      </c>
      <c r="D2421" s="12" t="s">
        <v>3286</v>
      </c>
    </row>
    <row r="2422">
      <c r="A2422" s="5">
        <f>HYPERLINK("https://www.oit.va.gov/Services/TRM/ToolPage.aspx?tid=8882^","Karma")</f>
      </c>
      <c r="B2422" s="4" t="s">
        <v>3287</v>
      </c>
      <c r="C2422" s="9" t="s">
        <v>6</v>
      </c>
      <c r="D2422" s="12" t="s">
        <v>3288</v>
      </c>
    </row>
    <row r="2423">
      <c r="A2423" s="5">
        <f>HYPERLINK("https://www.oit.va.gov/Services/TRM/ToolPage.aspx?tid=8883^","Karma-Chrome-Launcher")</f>
      </c>
      <c r="B2423" s="4" t="s">
        <v>3287</v>
      </c>
      <c r="C2423" s="9" t="s">
        <v>6</v>
      </c>
      <c r="D2423" s="12" t="s">
        <v>1197</v>
      </c>
    </row>
    <row r="2424">
      <c r="A2424" s="5">
        <f>HYPERLINK("https://www.oit.va.gov/Services/TRM/ToolPage.aspx?tid=13207^","Katalon Studio")</f>
      </c>
      <c r="B2424" s="4" t="s">
        <v>3289</v>
      </c>
      <c r="C2424" s="9" t="s">
        <v>6</v>
      </c>
      <c r="D2424" s="12" t="s">
        <v>3290</v>
      </c>
    </row>
    <row r="2425">
      <c r="A2425" s="5">
        <f>HYPERLINK("https://www.oit.va.gov/Services/TRM/ToolPage.aspx?tid=8035^","Kendo User Interface (UI)")</f>
      </c>
      <c r="B2425" s="4" t="s">
        <v>241</v>
      </c>
      <c r="C2425" s="9" t="s">
        <v>6</v>
      </c>
      <c r="D2425" s="12" t="s">
        <v>818</v>
      </c>
    </row>
    <row r="2426">
      <c r="A2426" s="5">
        <f>HYPERLINK("https://www.oit.va.gov/Services/TRM/ToolPage.aspx?tid=16810^","Keysight Tool Ix Automated Network Validation LIbrary (ANVL)")</f>
      </c>
      <c r="B2426" s="4" t="s">
        <v>3012</v>
      </c>
      <c r="C2426" s="9" t="s">
        <v>6</v>
      </c>
      <c r="D2426" s="12" t="s">
        <v>3291</v>
      </c>
    </row>
    <row r="2427">
      <c r="A2427" s="5">
        <f>HYPERLINK("https://www.oit.va.gov/Services/TRM/ToolPage.aspx?tid=16811^","Keysight Tool Ixload")</f>
      </c>
      <c r="B2427" s="4" t="s">
        <v>3012</v>
      </c>
      <c r="C2427" s="9" t="s">
        <v>6</v>
      </c>
      <c r="D2427" s="12" t="s">
        <v>3292</v>
      </c>
    </row>
    <row r="2428">
      <c r="A2428" s="5">
        <f>HYPERLINK("https://www.oit.va.gov/Services/TRM/ToolPage.aspx?tid=16815^","Keysight Tool IxNetwork")</f>
      </c>
      <c r="B2428" s="4" t="s">
        <v>3012</v>
      </c>
      <c r="C2428" s="9" t="s">
        <v>6</v>
      </c>
      <c r="D2428" s="12" t="s">
        <v>3293</v>
      </c>
    </row>
    <row r="2429">
      <c r="A2429" s="5">
        <f>HYPERLINK("https://www.oit.va.gov/Services/TRM/ToolPage.aspx?tid=16818^","Keysight Tool IxVeriWave")</f>
      </c>
      <c r="B2429" s="4" t="s">
        <v>3012</v>
      </c>
      <c r="C2429" s="9" t="s">
        <v>6</v>
      </c>
      <c r="D2429" s="12" t="s">
        <v>3294</v>
      </c>
    </row>
    <row r="2430">
      <c r="A2430" s="5">
        <f>HYPERLINK("https://www.oit.va.gov/Services/TRM/ToolPage.aspx?tid=6022^","Keystone Web")</f>
      </c>
      <c r="B2430" s="4" t="s">
        <v>3295</v>
      </c>
      <c r="C2430" s="9" t="s">
        <v>6</v>
      </c>
      <c r="D2430" s="12" t="s">
        <v>3296</v>
      </c>
    </row>
    <row r="2431">
      <c r="A2431" s="5">
        <f>HYPERLINK("https://www.oit.va.gov/Services/TRM/ToolPage.aspx?tid=16873^","Kinovea")</f>
      </c>
      <c r="B2431" s="4" t="s">
        <v>3297</v>
      </c>
      <c r="C2431" s="9" t="s">
        <v>6</v>
      </c>
      <c r="D2431" s="12" t="s">
        <v>3298</v>
      </c>
    </row>
    <row r="2432">
      <c r="A2432" s="5">
        <f>HYPERLINK("https://www.oit.va.gov/Services/TRM/ToolPage.aspx?tid=8889^","Kiwi Systems Log (Syslog) Server")</f>
      </c>
      <c r="B2432" s="4" t="s">
        <v>431</v>
      </c>
      <c r="C2432" s="9" t="s">
        <v>6</v>
      </c>
      <c r="D2432" s="12" t="s">
        <v>3237</v>
      </c>
    </row>
    <row r="2433">
      <c r="A2433" s="5">
        <f>HYPERLINK("https://www.oit.va.gov/Services/TRM/ToolPage.aspx?tid=16256^","KiwiVision Video Analytics")</f>
      </c>
      <c r="B2433" s="4" t="s">
        <v>3299</v>
      </c>
      <c r="C2433" s="9" t="s">
        <v>6</v>
      </c>
      <c r="D2433" s="12" t="s">
        <v>2153</v>
      </c>
    </row>
    <row r="2434">
      <c r="A2434" s="5">
        <f>HYPERLINK("https://www.oit.va.gov/Services/TRM/ToolPage.aspx?tid=10462^","Kodak Alaris Capture Pro Software")</f>
      </c>
      <c r="B2434" s="4" t="s">
        <v>3300</v>
      </c>
      <c r="C2434" s="9" t="s">
        <v>6</v>
      </c>
      <c r="D2434" s="12" t="s">
        <v>3301</v>
      </c>
    </row>
    <row r="2435">
      <c r="A2435" s="5">
        <f>HYPERLINK("https://www.oit.va.gov/Services/TRM/ToolPage.aspx?tid=12876^","Kodak Smart Touch Export Tool")</f>
      </c>
      <c r="B2435" s="4" t="s">
        <v>3300</v>
      </c>
      <c r="C2435" s="9" t="s">
        <v>6</v>
      </c>
      <c r="D2435" s="12" t="s">
        <v>2983</v>
      </c>
    </row>
    <row r="2436">
      <c r="A2436" s="5">
        <f>HYPERLINK("https://www.oit.va.gov/Services/TRM/ToolPage.aspx?tid=14615^","Konga")</f>
      </c>
      <c r="B2436" s="4" t="s">
        <v>3302</v>
      </c>
      <c r="C2436" s="9" t="s">
        <v>6</v>
      </c>
      <c r="D2436" s="12" t="s">
        <v>3205</v>
      </c>
    </row>
    <row r="2437">
      <c r="A2437" s="5">
        <f>HYPERLINK("https://www.oit.va.gov/Services/TRM/ToolPage.aspx?tid=15625^","Korbyt Anywhere")</f>
      </c>
      <c r="B2437" s="4" t="s">
        <v>3303</v>
      </c>
      <c r="C2437" s="9" t="s">
        <v>6</v>
      </c>
      <c r="D2437" s="12" t="s">
        <v>3304</v>
      </c>
    </row>
    <row r="2438">
      <c r="A2438" s="5">
        <f>HYPERLINK("https://www.oit.va.gov/Services/TRM/ToolPage.aspx?tid=15220^","KuandoHub")</f>
      </c>
      <c r="B2438" s="4" t="s">
        <v>2503</v>
      </c>
      <c r="C2438" s="9" t="s">
        <v>6</v>
      </c>
      <c r="D2438" s="12" t="s">
        <v>1201</v>
      </c>
    </row>
    <row r="2439">
      <c r="A2439" s="5">
        <f>HYPERLINK("https://www.oit.va.gov/Services/TRM/ToolPage.aspx?tid=9800^","LabChart")</f>
      </c>
      <c r="B2439" s="4" t="s">
        <v>3305</v>
      </c>
      <c r="C2439" s="9" t="s">
        <v>6</v>
      </c>
      <c r="D2439" s="12" t="s">
        <v>682</v>
      </c>
    </row>
    <row r="2440">
      <c r="A2440" s="5">
        <f>HYPERLINK("https://www.oit.va.gov/Services/TRM/ToolPage.aspx?tid=11192^","Laboratory Response Network (LRN) Results Messenger (RM)")</f>
      </c>
      <c r="B2440" s="4" t="s">
        <v>734</v>
      </c>
      <c r="C2440" s="9" t="s">
        <v>6</v>
      </c>
      <c r="D2440" s="12" t="s">
        <v>3306</v>
      </c>
    </row>
    <row r="2441">
      <c r="A2441" s="5">
        <f>HYPERLINK("https://www.oit.va.gov/Services/TRM/ToolPage.aspx?tid=15708^","LabSystem Pro Electrophysiology (EP) Review Workstation")</f>
      </c>
      <c r="B2441" s="4" t="s">
        <v>1391</v>
      </c>
      <c r="C2441" s="9" t="s">
        <v>6</v>
      </c>
      <c r="D2441" s="12" t="s">
        <v>3307</v>
      </c>
    </row>
    <row r="2442">
      <c r="A2442" s="5">
        <f>HYPERLINK("https://www.oit.va.gov/Services/TRM/ToolPage.aspx?tid=13304^","Language Line")</f>
      </c>
      <c r="B2442" s="4" t="s">
        <v>3308</v>
      </c>
      <c r="C2442" s="9" t="s">
        <v>6</v>
      </c>
      <c r="D2442" s="12" t="s">
        <v>3309</v>
      </c>
    </row>
    <row r="2443">
      <c r="A2443" s="5">
        <f>HYPERLINK("https://www.oit.va.gov/Services/TRM/ToolPage.aspx?tid=10385^","Lantronix Device Installer")</f>
      </c>
      <c r="B2443" s="4" t="s">
        <v>3310</v>
      </c>
      <c r="C2443" s="9" t="s">
        <v>6</v>
      </c>
      <c r="D2443" s="12" t="s">
        <v>1996</v>
      </c>
    </row>
    <row r="2444">
      <c r="A2444" s="5">
        <f>HYPERLINK("https://www.oit.va.gov/Services/TRM/ToolPage.aspx?tid=14626^","Laurel Bridge Compass")</f>
      </c>
      <c r="B2444" s="4" t="s">
        <v>975</v>
      </c>
      <c r="C2444" s="9" t="s">
        <v>6</v>
      </c>
      <c r="D2444" s="12" t="s">
        <v>3311</v>
      </c>
    </row>
    <row r="2445">
      <c r="A2445" s="5">
        <f>HYPERLINK("https://www.oit.va.gov/Services/TRM/ToolPage.aspx?tid=16865^","Laurel Bridge Navigator")</f>
      </c>
      <c r="B2445" s="4" t="s">
        <v>975</v>
      </c>
      <c r="C2445" s="9" t="s">
        <v>6</v>
      </c>
      <c r="D2445" s="12" t="s">
        <v>3312</v>
      </c>
    </row>
    <row r="2446">
      <c r="A2446" s="5">
        <f>HYPERLINK("https://www.oit.va.gov/Services/TRM/ToolPage.aspx?tid=16796^","Leapwork")</f>
      </c>
      <c r="B2446" s="4" t="s">
        <v>3313</v>
      </c>
      <c r="C2446" s="9" t="s">
        <v>6</v>
      </c>
      <c r="D2446" s="12" t="s">
        <v>3056</v>
      </c>
    </row>
    <row r="2447">
      <c r="A2447" s="5">
        <f>HYPERLINK("https://www.oit.va.gov/Services/TRM/ToolPage.aspx?tid=7410^","Lee Silverman Voice Treatment (LSVT) Coach")</f>
      </c>
      <c r="B2447" s="4" t="s">
        <v>3314</v>
      </c>
      <c r="C2447" s="9" t="s">
        <v>6</v>
      </c>
      <c r="D2447" s="12" t="s">
        <v>3315</v>
      </c>
    </row>
    <row r="2448">
      <c r="A2448" s="5">
        <f>HYPERLINK("https://www.oit.va.gov/Services/TRM/ToolPage.aspx?tid=7757^","Leica Application Suite (LAS)")</f>
      </c>
      <c r="B2448" s="4" t="s">
        <v>3316</v>
      </c>
      <c r="C2448" s="9" t="s">
        <v>6</v>
      </c>
      <c r="D2448" s="12" t="s">
        <v>3317</v>
      </c>
    </row>
    <row r="2449">
      <c r="A2449" s="5">
        <f>HYPERLINK("https://www.oit.va.gov/Services/TRM/ToolPage.aspx?tid=13086^","Lexis Search Advantage (LSA)")</f>
      </c>
      <c r="B2449" s="4" t="s">
        <v>166</v>
      </c>
      <c r="C2449" s="9" t="s">
        <v>6</v>
      </c>
      <c r="D2449" s="12" t="s">
        <v>2962</v>
      </c>
    </row>
    <row r="2450">
      <c r="A2450" s="5">
        <f>HYPERLINK("https://www.oit.va.gov/Services/TRM/ToolPage.aspx?tid=10841^","LexisNexis Automated Veterans Benefits Forms")</f>
      </c>
      <c r="B2450" s="4" t="s">
        <v>166</v>
      </c>
      <c r="C2450" s="9" t="s">
        <v>6</v>
      </c>
      <c r="D2450" s="12" t="s">
        <v>1197</v>
      </c>
    </row>
    <row r="2451">
      <c r="A2451" s="5">
        <f>HYPERLINK("https://www.oit.va.gov/Services/TRM/ToolPage.aspx?tid=6027^","LexisNexis Compact Disc (CD) on Folio 4")</f>
      </c>
      <c r="B2451" s="4" t="s">
        <v>166</v>
      </c>
      <c r="C2451" s="9" t="s">
        <v>6</v>
      </c>
      <c r="D2451" s="12" t="s">
        <v>3318</v>
      </c>
    </row>
    <row r="2452">
      <c r="A2452" s="5">
        <f>HYPERLINK("https://www.oit.va.gov/Services/TRM/ToolPage.aspx?tid=10483^","Lexmark Data Collection Manager")</f>
      </c>
      <c r="B2452" s="4" t="s">
        <v>3319</v>
      </c>
      <c r="C2452" s="9" t="s">
        <v>6</v>
      </c>
      <c r="D2452" s="12" t="s">
        <v>3320</v>
      </c>
    </row>
    <row r="2453">
      <c r="A2453" s="5">
        <f>HYPERLINK("https://www.oit.va.gov/Services/TRM/ToolPage.aspx?tid=13179^","Lexmark Document Distributor (LDD)")</f>
      </c>
      <c r="B2453" s="4" t="s">
        <v>3319</v>
      </c>
      <c r="C2453" s="9" t="s">
        <v>6</v>
      </c>
      <c r="D2453" s="12" t="s">
        <v>32</v>
      </c>
    </row>
    <row r="2454">
      <c r="A2454" s="5">
        <f>HYPERLINK("https://www.oit.va.gov/Services/TRM/ToolPage.aspx?tid=7574^","Lexmark Markvision Enterprise")</f>
      </c>
      <c r="B2454" s="4" t="s">
        <v>3319</v>
      </c>
      <c r="C2454" s="9" t="s">
        <v>6</v>
      </c>
      <c r="D2454" s="12" t="s">
        <v>3321</v>
      </c>
    </row>
    <row r="2455">
      <c r="A2455" s="5">
        <f>HYPERLINK("https://www.oit.va.gov/Services/TRM/ToolPage.aspx?tid=14566^","LG Monitoring View (LGMV)")</f>
      </c>
      <c r="B2455" s="4" t="s">
        <v>3322</v>
      </c>
      <c r="C2455" s="9" t="s">
        <v>6</v>
      </c>
      <c r="D2455" s="12" t="s">
        <v>2777</v>
      </c>
    </row>
    <row r="2456">
      <c r="A2456" s="5">
        <f>HYPERLINK("https://www.oit.va.gov/Services/TRM/ToolPage.aspx?tid=16596^","LibKey Nomad")</f>
      </c>
      <c r="B2456" s="4" t="s">
        <v>3323</v>
      </c>
      <c r="C2456" s="9" t="s">
        <v>6</v>
      </c>
      <c r="D2456" s="12" t="s">
        <v>1535</v>
      </c>
    </row>
    <row r="2457">
      <c r="A2457" s="5">
        <f>HYPERLINK("https://www.oit.va.gov/Services/TRM/ToolPage.aspx?tid=14364^","License Manager Client (LMC)")</f>
      </c>
      <c r="B2457" s="4" t="s">
        <v>3324</v>
      </c>
      <c r="C2457" s="9" t="s">
        <v>6</v>
      </c>
      <c r="D2457" s="12" t="s">
        <v>799</v>
      </c>
    </row>
    <row r="2458">
      <c r="A2458" s="5">
        <f>HYPERLINK("https://www.oit.va.gov/Services/TRM/ToolPage.aspx?tid=6205^","Liferay Portal")</f>
      </c>
      <c r="B2458" s="4" t="s">
        <v>3325</v>
      </c>
      <c r="C2458" s="9" t="s">
        <v>6</v>
      </c>
      <c r="D2458" s="12" t="s">
        <v>3326</v>
      </c>
    </row>
    <row r="2459">
      <c r="A2459" s="5">
        <f>HYPERLINK("https://www.oit.va.gov/Services/TRM/ToolPage.aspx?tid=8103^","Lighthouse Studio")</f>
      </c>
      <c r="B2459" s="4" t="s">
        <v>3327</v>
      </c>
      <c r="C2459" s="9" t="s">
        <v>6</v>
      </c>
      <c r="D2459" s="12" t="s">
        <v>3328</v>
      </c>
    </row>
    <row r="2460">
      <c r="A2460" s="5">
        <f>HYPERLINK("https://www.oit.va.gov/Services/TRM/ToolPage.aspx?tid=9154^","LimeSurvey")</f>
      </c>
      <c r="B2460" s="4" t="s">
        <v>3329</v>
      </c>
      <c r="C2460" s="9" t="s">
        <v>6</v>
      </c>
      <c r="D2460" s="12" t="s">
        <v>3205</v>
      </c>
    </row>
    <row r="2461">
      <c r="A2461" s="5">
        <f>HYPERLINK("https://www.oit.va.gov/Services/TRM/ToolPage.aspx?tid=8645^","Link Cascading Style Sheets (CSS) - Drupal Module")</f>
      </c>
      <c r="B2461" s="4" t="s">
        <v>3330</v>
      </c>
      <c r="C2461" s="9" t="s">
        <v>6</v>
      </c>
      <c r="D2461" s="12" t="s">
        <v>3331</v>
      </c>
    </row>
    <row r="2462">
      <c r="A2462" s="5">
        <f>HYPERLINK("https://www.oit.va.gov/Services/TRM/ToolPage.aspx?tid=10195^","Link Plus")</f>
      </c>
      <c r="B2462" s="4" t="s">
        <v>1981</v>
      </c>
      <c r="C2462" s="9" t="s">
        <v>6</v>
      </c>
      <c r="D2462" s="12" t="s">
        <v>1897</v>
      </c>
    </row>
    <row r="2463">
      <c r="A2463" s="5">
        <f>HYPERLINK("https://www.oit.va.gov/Services/TRM/ToolPage.aspx?tid=7798^","LinkWare Personal Computer (PC) Cable Test Management")</f>
      </c>
      <c r="B2463" s="4" t="s">
        <v>3332</v>
      </c>
      <c r="C2463" s="9" t="s">
        <v>6</v>
      </c>
      <c r="D2463" s="12" t="s">
        <v>3333</v>
      </c>
    </row>
    <row r="2464">
      <c r="A2464" s="5">
        <f>HYPERLINK("https://www.oit.va.gov/Services/TRM/ToolPage.aspx?tid=14962^","LiveNX")</f>
      </c>
      <c r="B2464" s="4" t="s">
        <v>3334</v>
      </c>
      <c r="C2464" s="9" t="s">
        <v>6</v>
      </c>
      <c r="D2464" s="12" t="s">
        <v>3335</v>
      </c>
    </row>
    <row r="2465">
      <c r="A2465" s="5">
        <f>HYPERLINK("https://www.oit.va.gov/Services/TRM/ToolPage.aspx?tid=10386^","Livescan Management Software (LSMS)")</f>
      </c>
      <c r="B2465" s="4" t="s">
        <v>3336</v>
      </c>
      <c r="C2465" s="9" t="s">
        <v>6</v>
      </c>
      <c r="D2465" s="12" t="s">
        <v>844</v>
      </c>
    </row>
    <row r="2466">
      <c r="A2466" s="5">
        <f>HYPERLINK("https://www.oit.va.gov/Services/TRM/ToolPage.aspx?tid=16517^","LiveScribe+ Desktop")</f>
      </c>
      <c r="B2466" s="4" t="s">
        <v>3337</v>
      </c>
      <c r="C2466" s="9" t="s">
        <v>6</v>
      </c>
      <c r="D2466" s="12" t="s">
        <v>3338</v>
      </c>
    </row>
    <row r="2467">
      <c r="A2467" s="5">
        <f>HYPERLINK("https://www.oit.va.gov/Services/TRM/ToolPage.aspx?tid=9724^","LiveStream Portal")</f>
      </c>
      <c r="B2467" s="4" t="s">
        <v>1298</v>
      </c>
      <c r="C2467" s="9" t="s">
        <v>6</v>
      </c>
      <c r="D2467" s="12" t="s">
        <v>3339</v>
      </c>
    </row>
    <row r="2468">
      <c r="A2468" s="5">
        <f>HYPERLINK("https://www.oit.va.gov/Services/TRM/ToolPage.aspx?tid=6277^","LoadRunner Enterprise")</f>
      </c>
      <c r="B2468" s="4" t="s">
        <v>1411</v>
      </c>
      <c r="C2468" s="9" t="s">
        <v>6</v>
      </c>
      <c r="D2468" s="12" t="s">
        <v>3340</v>
      </c>
    </row>
    <row r="2469">
      <c r="A2469" s="5">
        <f>HYPERLINK("https://www.oit.va.gov/Services/TRM/ToolPage.aspx?tid=10282^","LogTag Analyzer")</f>
      </c>
      <c r="B2469" s="4" t="s">
        <v>3341</v>
      </c>
      <c r="C2469" s="9" t="s">
        <v>6</v>
      </c>
      <c r="D2469" s="12" t="s">
        <v>3342</v>
      </c>
    </row>
    <row r="2470">
      <c r="A2470" s="5">
        <f>HYPERLINK("https://www.oit.va.gov/Services/TRM/ToolPage.aspx?tid=16814^","Long Path Tool")</f>
      </c>
      <c r="B2470" s="4" t="s">
        <v>3343</v>
      </c>
      <c r="C2470" s="9" t="s">
        <v>6</v>
      </c>
      <c r="D2470" s="12" t="s">
        <v>3344</v>
      </c>
    </row>
    <row r="2471">
      <c r="A2471" s="5">
        <f>HYPERLINK("https://www.oit.va.gov/Services/TRM/ToolPage.aspx?tid=13998^","LVS (Label Vision System)-9510 Desktop Barcode Verifier")</f>
      </c>
      <c r="B2471" s="4" t="s">
        <v>3345</v>
      </c>
      <c r="C2471" s="9" t="s">
        <v>6</v>
      </c>
      <c r="D2471" s="12" t="s">
        <v>3221</v>
      </c>
    </row>
    <row r="2472">
      <c r="A2472" s="5">
        <f>HYPERLINK("https://www.oit.va.gov/Services/TRM/ToolPage.aspx?tid=10321^","Lynx Photo Management")</f>
      </c>
      <c r="B2472" s="4" t="s">
        <v>3346</v>
      </c>
      <c r="C2472" s="9" t="s">
        <v>6</v>
      </c>
      <c r="D2472" s="12" t="s">
        <v>89</v>
      </c>
    </row>
    <row r="2473">
      <c r="A2473" s="5">
        <f>HYPERLINK("https://www.oit.va.gov/Services/TRM/ToolPage.aspx?tid=11663^","LynxGuide Server")</f>
      </c>
      <c r="B2473" s="4" t="s">
        <v>3347</v>
      </c>
      <c r="C2473" s="9" t="s">
        <v>6</v>
      </c>
      <c r="D2473" s="12" t="s">
        <v>3348</v>
      </c>
    </row>
    <row r="2474">
      <c r="A2474" s="5">
        <f>HYPERLINK("https://www.oit.va.gov/Services/TRM/ToolPage.aspx?tid=16645^","Mach7 eUnity Enterprise Viewer")</f>
      </c>
      <c r="B2474" s="4" t="s">
        <v>3349</v>
      </c>
      <c r="C2474" s="9" t="s">
        <v>6</v>
      </c>
      <c r="D2474" s="12" t="s">
        <v>3350</v>
      </c>
    </row>
    <row r="2475">
      <c r="A2475" s="5">
        <f>HYPERLINK("https://www.oit.va.gov/Services/TRM/ToolPage.aspx?tid=6719^","macOS")</f>
      </c>
      <c r="B2475" s="4" t="s">
        <v>1782</v>
      </c>
      <c r="C2475" s="9" t="s">
        <v>6</v>
      </c>
      <c r="D2475" s="12" t="s">
        <v>1015</v>
      </c>
    </row>
    <row r="2476">
      <c r="A2476" s="5">
        <f>HYPERLINK("https://www.oit.va.gov/Services/TRM/ToolPage.aspx?tid=15778^","MagicINFO")</f>
      </c>
      <c r="B2476" s="4" t="s">
        <v>3351</v>
      </c>
      <c r="C2476" s="9" t="s">
        <v>6</v>
      </c>
      <c r="D2476" s="12" t="s">
        <v>3352</v>
      </c>
    </row>
    <row r="2477">
      <c r="A2477" s="5">
        <f>HYPERLINK("https://www.oit.va.gov/Services/TRM/ToolPage.aspx?tid=13667^","Maine Crash Reporting System (MCRS)")</f>
      </c>
      <c r="B2477" s="4" t="s">
        <v>3353</v>
      </c>
      <c r="C2477" s="9" t="s">
        <v>6</v>
      </c>
      <c r="D2477" s="12" t="s">
        <v>264</v>
      </c>
    </row>
    <row r="2478">
      <c r="A2478" s="5">
        <f>HYPERLINK("https://www.oit.va.gov/Services/TRM/ToolPage.aspx?tid=14993^","MakerBot Print")</f>
      </c>
      <c r="B2478" s="4" t="s">
        <v>3354</v>
      </c>
      <c r="C2478" s="9" t="s">
        <v>6</v>
      </c>
      <c r="D2478" s="12" t="s">
        <v>3065</v>
      </c>
    </row>
    <row r="2479">
      <c r="A2479" s="5">
        <f>HYPERLINK("https://www.oit.va.gov/Services/TRM/ToolPage.aspx?tid=15398^","ManageExpress Virtual Office (MEVO)")</f>
      </c>
      <c r="B2479" s="4" t="s">
        <v>3355</v>
      </c>
      <c r="C2479" s="9" t="s">
        <v>6</v>
      </c>
      <c r="D2479" s="12" t="s">
        <v>296</v>
      </c>
    </row>
    <row r="2480">
      <c r="A2480" s="5">
        <f>HYPERLINK("https://www.oit.va.gov/Services/TRM/ToolPage.aspx?tid=9749^","ManagerPlus Desktop")</f>
      </c>
      <c r="B2480" s="4" t="s">
        <v>3356</v>
      </c>
      <c r="C2480" s="9" t="s">
        <v>6</v>
      </c>
      <c r="D2480" s="12" t="s">
        <v>3357</v>
      </c>
    </row>
    <row r="2481">
      <c r="A2481" s="5">
        <f>HYPERLINK("https://www.oit.va.gov/Services/TRM/ToolPage.aspx?tid=14705^","Mandarin Library Automation")</f>
      </c>
      <c r="B2481" s="4" t="s">
        <v>3358</v>
      </c>
      <c r="C2481" s="9" t="s">
        <v>6</v>
      </c>
      <c r="D2481" s="12" t="s">
        <v>3189</v>
      </c>
    </row>
    <row r="2482">
      <c r="A2482" s="5">
        <f>HYPERLINK("https://www.oit.va.gov/Services/TRM/ToolPage.aspx?tid=10682^","Maptitude")</f>
      </c>
      <c r="B2482" s="4" t="s">
        <v>3359</v>
      </c>
      <c r="C2482" s="9" t="s">
        <v>6</v>
      </c>
      <c r="D2482" s="12" t="s">
        <v>3360</v>
      </c>
    </row>
    <row r="2483">
      <c r="A2483" s="5">
        <f>HYPERLINK("https://www.oit.va.gov/Services/TRM/ToolPage.aspx?tid=11211^","MARS Ambulatory electrocardiogram (ECG) Software")</f>
      </c>
      <c r="B2483" s="4" t="s">
        <v>874</v>
      </c>
      <c r="C2483" s="9" t="s">
        <v>6</v>
      </c>
      <c r="D2483" s="12" t="s">
        <v>3361</v>
      </c>
    </row>
    <row r="2484">
      <c r="A2484" s="5">
        <f>HYPERLINK("https://www.oit.va.gov/Services/TRM/ToolPage.aspx?tid=9696^","Materialise Interactive Medical Image Control System (MIMICS) Suite")</f>
      </c>
      <c r="B2484" s="4" t="s">
        <v>3362</v>
      </c>
      <c r="C2484" s="9" t="s">
        <v>6</v>
      </c>
      <c r="D2484" s="12" t="s">
        <v>1346</v>
      </c>
    </row>
    <row r="2485">
      <c r="A2485" s="5">
        <f>HYPERLINK("https://www.oit.va.gov/Services/TRM/ToolPage.aspx?tid=15371^","Materialise Mimics Inprint")</f>
      </c>
      <c r="B2485" s="4" t="s">
        <v>3362</v>
      </c>
      <c r="C2485" s="9" t="s">
        <v>6</v>
      </c>
      <c r="D2485" s="12" t="s">
        <v>1158</v>
      </c>
    </row>
    <row r="2486">
      <c r="A2486" s="5">
        <f>HYPERLINK("https://www.oit.va.gov/Services/TRM/ToolPage.aspx?tid=13016^","Mathematica")</f>
      </c>
      <c r="B2486" s="4" t="s">
        <v>3363</v>
      </c>
      <c r="C2486" s="9" t="s">
        <v>6</v>
      </c>
      <c r="D2486" s="12" t="s">
        <v>3288</v>
      </c>
    </row>
    <row r="2487">
      <c r="A2487" s="5">
        <f>HYPERLINK("https://www.oit.va.gov/Services/TRM/ToolPage.aspx?tid=9375^","MathType")</f>
      </c>
      <c r="B2487" s="4" t="s">
        <v>3364</v>
      </c>
      <c r="C2487" s="9" t="s">
        <v>6</v>
      </c>
      <c r="D2487" s="12" t="s">
        <v>3365</v>
      </c>
    </row>
    <row r="2488">
      <c r="A2488" s="5">
        <f>HYPERLINK("https://www.oit.va.gov/Services/TRM/ToolPage.aspx?tid=9862^","Maximo Anywhere")</f>
      </c>
      <c r="B2488" s="4" t="s">
        <v>233</v>
      </c>
      <c r="C2488" s="9" t="s">
        <v>6</v>
      </c>
      <c r="D2488" s="12" t="s">
        <v>3366</v>
      </c>
    </row>
    <row r="2489">
      <c r="A2489" s="5">
        <f>HYPERLINK("https://www.oit.va.gov/Services/TRM/ToolPage.aspx?tid=6711^","MedCalc")</f>
      </c>
      <c r="B2489" s="4" t="s">
        <v>3367</v>
      </c>
      <c r="C2489" s="9" t="s">
        <v>6</v>
      </c>
      <c r="D2489" s="12" t="s">
        <v>3368</v>
      </c>
    </row>
    <row r="2490">
      <c r="A2490" s="5">
        <f>HYPERLINK("https://www.oit.va.gov/Services/TRM/ToolPage.aspx?tid=15221^","MedCodr")</f>
      </c>
      <c r="B2490" s="4" t="s">
        <v>3369</v>
      </c>
      <c r="C2490" s="9" t="s">
        <v>6</v>
      </c>
      <c r="D2490" s="12" t="s">
        <v>974</v>
      </c>
    </row>
    <row r="2491">
      <c r="A2491" s="5">
        <f>HYPERLINK("https://www.oit.va.gov/Services/TRM/ToolPage.aspx?tid=11525^","Medeco XT Web Manager")</f>
      </c>
      <c r="B2491" s="4" t="s">
        <v>3370</v>
      </c>
      <c r="C2491" s="9" t="s">
        <v>6</v>
      </c>
      <c r="D2491" s="12" t="s">
        <v>3371</v>
      </c>
    </row>
    <row r="2492">
      <c r="A2492" s="5">
        <f>HYPERLINK("https://www.oit.va.gov/Services/TRM/ToolPage.aspx?tid=10943^","Media - Drupal Module")</f>
      </c>
      <c r="B2492" s="4" t="s">
        <v>2989</v>
      </c>
      <c r="C2492" s="9" t="s">
        <v>6</v>
      </c>
      <c r="D2492" s="12" t="s">
        <v>3372</v>
      </c>
    </row>
    <row r="2493">
      <c r="A2493" s="5">
        <f>HYPERLINK("https://www.oit.va.gov/Services/TRM/ToolPage.aspx?tid=11275^","Media YouTube - Drupal Module")</f>
      </c>
      <c r="B2493" s="4" t="s">
        <v>2989</v>
      </c>
      <c r="C2493" s="9" t="s">
        <v>6</v>
      </c>
      <c r="D2493" s="12" t="s">
        <v>219</v>
      </c>
    </row>
    <row r="2494">
      <c r="A2494" s="5">
        <f>HYPERLINK("https://www.oit.va.gov/Services/TRM/ToolPage.aspx?tid=14725^","MediaStar Media Manager")</f>
      </c>
      <c r="B2494" s="4" t="s">
        <v>3373</v>
      </c>
      <c r="C2494" s="9" t="s">
        <v>6</v>
      </c>
      <c r="D2494" s="12" t="s">
        <v>3374</v>
      </c>
    </row>
    <row r="2495">
      <c r="A2495" s="5">
        <f>HYPERLINK("https://www.oit.va.gov/Services/TRM/ToolPage.aspx?tid=5113^","MediaWiki")</f>
      </c>
      <c r="B2495" s="4" t="s">
        <v>3375</v>
      </c>
      <c r="C2495" s="9" t="s">
        <v>6</v>
      </c>
      <c r="D2495" s="12" t="s">
        <v>509</v>
      </c>
    </row>
    <row r="2496">
      <c r="A2496" s="5">
        <f>HYPERLINK("https://www.oit.va.gov/Services/TRM/ToolPage.aspx?tid=16012^","Medical Internal Radiation Dose (MIRDcalc)")</f>
      </c>
      <c r="B2496" s="4" t="s">
        <v>3376</v>
      </c>
      <c r="C2496" s="9" t="s">
        <v>6</v>
      </c>
      <c r="D2496" s="12" t="s">
        <v>3377</v>
      </c>
    </row>
    <row r="2497">
      <c r="A2497" s="5">
        <f>HYPERLINK("https://www.oit.va.gov/Services/TRM/ToolPage.aspx?tid=10873^","MediCal QAWeb Agent")</f>
      </c>
      <c r="B2497" s="4" t="s">
        <v>2847</v>
      </c>
      <c r="C2497" s="9" t="s">
        <v>6</v>
      </c>
      <c r="D2497" s="12" t="s">
        <v>3378</v>
      </c>
    </row>
    <row r="2498">
      <c r="A2498" s="5">
        <f>HYPERLINK("https://www.oit.va.gov/Services/TRM/ToolPage.aspx?tid=10872^","MediCal QAWeb Relay")</f>
      </c>
      <c r="B2498" s="4" t="s">
        <v>2847</v>
      </c>
      <c r="C2498" s="9" t="s">
        <v>6</v>
      </c>
      <c r="D2498" s="12" t="s">
        <v>3378</v>
      </c>
    </row>
    <row r="2499">
      <c r="A2499" s="5">
        <f>HYPERLINK("https://www.oit.va.gov/Services/TRM/ToolPage.aspx?tid=6639^","Medicity Connect")</f>
      </c>
      <c r="B2499" s="4" t="s">
        <v>3379</v>
      </c>
      <c r="C2499" s="9" t="s">
        <v>6</v>
      </c>
      <c r="D2499" s="12" t="s">
        <v>3380</v>
      </c>
    </row>
    <row r="2500">
      <c r="A2500" s="5">
        <f>HYPERLINK("https://www.oit.va.gov/Services/TRM/ToolPage.aspx?tid=16605^","MedVantage Configure and Edit")</f>
      </c>
      <c r="B2500" s="4" t="s">
        <v>3381</v>
      </c>
      <c r="C2500" s="9" t="s">
        <v>6</v>
      </c>
      <c r="D2500" s="12" t="s">
        <v>539</v>
      </c>
    </row>
    <row r="2501">
      <c r="A2501" s="5">
        <f>HYPERLINK("https://www.oit.va.gov/Services/TRM/ToolPage.aspx?tid=11047^","MedX")</f>
      </c>
      <c r="B2501" s="4" t="s">
        <v>882</v>
      </c>
      <c r="C2501" s="9" t="s">
        <v>6</v>
      </c>
      <c r="D2501" s="12" t="s">
        <v>3382</v>
      </c>
    </row>
    <row r="2502">
      <c r="A2502" s="5">
        <f>HYPERLINK("https://www.oit.va.gov/Services/TRM/ToolPage.aspx?tid=8891^","MestReNova (Mnova)")</f>
      </c>
      <c r="B2502" s="4" t="s">
        <v>3383</v>
      </c>
      <c r="C2502" s="9" t="s">
        <v>6</v>
      </c>
      <c r="D2502" s="12" t="s">
        <v>3384</v>
      </c>
    </row>
    <row r="2503">
      <c r="A2503" s="5">
        <f>HYPERLINK("https://www.oit.va.gov/Services/TRM/ToolPage.aspx?tid=15112^","Metasys Controller Configuration Tool (CCT)")</f>
      </c>
      <c r="B2503" s="4" t="s">
        <v>2553</v>
      </c>
      <c r="C2503" s="9" t="s">
        <v>6</v>
      </c>
      <c r="D2503" s="12" t="s">
        <v>3385</v>
      </c>
    </row>
    <row r="2504">
      <c r="A2504" s="5">
        <f>HYPERLINK("https://www.oit.va.gov/Services/TRM/ToolPage.aspx?tid=15114^","Metasys System Configuration Tool (SCT)")</f>
      </c>
      <c r="B2504" s="4" t="s">
        <v>2553</v>
      </c>
      <c r="C2504" s="9" t="s">
        <v>6</v>
      </c>
      <c r="D2504" s="12" t="s">
        <v>3386</v>
      </c>
    </row>
    <row r="2505">
      <c r="A2505" s="5">
        <f>HYPERLINK("https://www.oit.va.gov/Services/TRM/ToolPage.aspx?tid=5994^","Micro Focus Content Manager")</f>
      </c>
      <c r="B2505" s="4" t="s">
        <v>1411</v>
      </c>
      <c r="C2505" s="9" t="s">
        <v>6</v>
      </c>
      <c r="D2505" s="12" t="s">
        <v>3063</v>
      </c>
    </row>
    <row r="2506">
      <c r="A2506" s="5">
        <f>HYPERLINK("https://www.oit.va.gov/Services/TRM/ToolPage.aspx?tid=15618^","Micro Focus Enterprise Analyzer")</f>
      </c>
      <c r="B2506" s="4" t="s">
        <v>1411</v>
      </c>
      <c r="C2506" s="9" t="s">
        <v>6</v>
      </c>
      <c r="D2506" s="12" t="s">
        <v>3387</v>
      </c>
    </row>
    <row r="2507">
      <c r="A2507" s="5">
        <f>HYPERLINK("https://www.oit.va.gov/Services/TRM/ToolPage.aspx?tid=7411^","MicroStrategy ONE")</f>
      </c>
      <c r="B2507" s="4" t="s">
        <v>3388</v>
      </c>
      <c r="C2507" s="9" t="s">
        <v>6</v>
      </c>
      <c r="D2507" s="12" t="s">
        <v>285</v>
      </c>
    </row>
    <row r="2508">
      <c r="A2508" s="5">
        <f>HYPERLINK("https://www.oit.va.gov/Services/TRM/ToolPage.aspx?tid=16518^","MII")</f>
      </c>
      <c r="B2508" s="4" t="s">
        <v>3389</v>
      </c>
      <c r="C2508" s="9" t="s">
        <v>6</v>
      </c>
      <c r="D2508" s="12" t="s">
        <v>3338</v>
      </c>
    </row>
    <row r="2509">
      <c r="A2509" s="5">
        <f>HYPERLINK("https://www.oit.va.gov/Services/TRM/ToolPage.aspx?tid=16773^","MikroWin 300 SL")</f>
      </c>
      <c r="B2509" s="4" t="s">
        <v>2010</v>
      </c>
      <c r="C2509" s="9" t="s">
        <v>6</v>
      </c>
      <c r="D2509" s="12" t="s">
        <v>3390</v>
      </c>
    </row>
    <row r="2510">
      <c r="A2510" s="5">
        <f>HYPERLINK("https://www.oit.va.gov/Services/TRM/ToolPage.aspx?tid=6981^","Milestones Professional")</f>
      </c>
      <c r="B2510" s="4" t="s">
        <v>3391</v>
      </c>
      <c r="C2510" s="9" t="s">
        <v>6</v>
      </c>
      <c r="D2510" s="12" t="s">
        <v>850</v>
      </c>
    </row>
    <row r="2511">
      <c r="A2511" s="5">
        <f>HYPERLINK("https://www.oit.va.gov/Services/TRM/ToolPage.aspx?tid=7356^","MIM Symphony Dx")</f>
      </c>
      <c r="B2511" s="4" t="s">
        <v>2095</v>
      </c>
      <c r="C2511" s="9" t="s">
        <v>6</v>
      </c>
      <c r="D2511" s="12" t="s">
        <v>3392</v>
      </c>
    </row>
    <row r="2512">
      <c r="A2512" s="5">
        <f>HYPERLINK("https://www.oit.va.gov/Services/TRM/ToolPage.aspx?tid=7379^","MIMviewer")</f>
      </c>
      <c r="B2512" s="4" t="s">
        <v>2095</v>
      </c>
      <c r="C2512" s="9" t="s">
        <v>6</v>
      </c>
      <c r="D2512" s="12" t="s">
        <v>3393</v>
      </c>
    </row>
    <row r="2513">
      <c r="A2513" s="5">
        <f>HYPERLINK("https://www.oit.va.gov/Services/TRM/ToolPage.aspx?tid=6966^","MindWare Heart Rate Variability (HRV) Analysis")</f>
      </c>
      <c r="B2513" s="4" t="s">
        <v>3394</v>
      </c>
      <c r="C2513" s="9" t="s">
        <v>6</v>
      </c>
      <c r="D2513" s="12" t="s">
        <v>2825</v>
      </c>
    </row>
    <row r="2514">
      <c r="A2514" s="5">
        <f>HYPERLINK("https://www.oit.va.gov/Services/TRM/ToolPage.aspx?tid=7584^","MindWare Study Compiler")</f>
      </c>
      <c r="B2514" s="4" t="s">
        <v>3394</v>
      </c>
      <c r="C2514" s="9" t="s">
        <v>6</v>
      </c>
      <c r="D2514" s="12" t="s">
        <v>3395</v>
      </c>
    </row>
    <row r="2515">
      <c r="A2515" s="5">
        <f>HYPERLINK("https://www.oit.va.gov/Services/TRM/ToolPage.aspx?tid=11105^","Minitab License Manager")</f>
      </c>
      <c r="B2515" s="4" t="s">
        <v>3396</v>
      </c>
      <c r="C2515" s="9" t="s">
        <v>6</v>
      </c>
      <c r="D2515" s="12" t="s">
        <v>397</v>
      </c>
    </row>
    <row r="2516">
      <c r="A2516" s="5">
        <f>HYPERLINK("https://www.oit.va.gov/Services/TRM/ToolPage.aspx?tid=15787^","Minitab Workspace")</f>
      </c>
      <c r="B2516" s="4" t="s">
        <v>3396</v>
      </c>
      <c r="C2516" s="9" t="s">
        <v>6</v>
      </c>
      <c r="D2516" s="12" t="s">
        <v>2410</v>
      </c>
    </row>
    <row r="2517">
      <c r="A2517" s="5">
        <f>HYPERLINK("https://www.oit.va.gov/Services/TRM/ToolPage.aspx?tid=5470^","Mirth Connect")</f>
      </c>
      <c r="B2517" s="4" t="s">
        <v>3397</v>
      </c>
      <c r="C2517" s="9" t="s">
        <v>6</v>
      </c>
      <c r="D2517" s="12" t="s">
        <v>2389</v>
      </c>
    </row>
    <row r="2518">
      <c r="A2518" s="5">
        <f>HYPERLINK("https://www.oit.va.gov/Services/TRM/ToolPage.aspx?tid=11099^","Mitel MiVoice Connect")</f>
      </c>
      <c r="B2518" s="4" t="s">
        <v>3398</v>
      </c>
      <c r="C2518" s="9" t="s">
        <v>6</v>
      </c>
      <c r="D2518" s="12" t="s">
        <v>3399</v>
      </c>
    </row>
    <row r="2519">
      <c r="A2519" s="5">
        <f>HYPERLINK("https://www.oit.va.gov/Services/TRM/ToolPage.aspx?tid=9867^","MobileFirst Platform Server")</f>
      </c>
      <c r="B2519" s="4" t="s">
        <v>233</v>
      </c>
      <c r="C2519" s="9" t="s">
        <v>6</v>
      </c>
      <c r="D2519" s="12" t="s">
        <v>3400</v>
      </c>
    </row>
    <row r="2520">
      <c r="A2520" s="5">
        <f>HYPERLINK("https://www.oit.va.gov/Services/TRM/ToolPage.aspx?tid=15700^","Modal Fluency for Transcription")</f>
      </c>
      <c r="B2520" s="4" t="s">
        <v>882</v>
      </c>
      <c r="C2520" s="9" t="s">
        <v>6</v>
      </c>
      <c r="D2520" s="12" t="s">
        <v>3401</v>
      </c>
    </row>
    <row r="2521">
      <c r="A2521" s="5">
        <f>HYPERLINK("https://www.oit.va.gov/Services/TRM/ToolPage.aspx?tid=8020^","ModelTalker")</f>
      </c>
      <c r="B2521" s="4" t="s">
        <v>3402</v>
      </c>
      <c r="C2521" s="9" t="s">
        <v>6</v>
      </c>
      <c r="D2521" s="12" t="s">
        <v>3403</v>
      </c>
    </row>
    <row r="2522">
      <c r="A2522" s="5">
        <f>HYPERLINK("https://www.oit.va.gov/Services/TRM/ToolPage.aspx?tid=7194^","Modular Object-Oriented Dynamic Learning Environment (Moodle)")</f>
      </c>
      <c r="B2522" s="4" t="s">
        <v>3404</v>
      </c>
      <c r="C2522" s="9" t="s">
        <v>6</v>
      </c>
      <c r="D2522" s="12" t="s">
        <v>3405</v>
      </c>
    </row>
    <row r="2523">
      <c r="A2523" s="5">
        <f>HYPERLINK("https://www.oit.va.gov/Services/TRM/ToolPage.aspx?tid=16326^","Momentum")</f>
      </c>
      <c r="B2523" s="4" t="s">
        <v>3406</v>
      </c>
      <c r="C2523" s="9" t="s">
        <v>6</v>
      </c>
      <c r="D2523" s="12" t="s">
        <v>3407</v>
      </c>
    </row>
    <row r="2524">
      <c r="A2524" s="5">
        <f>HYPERLINK("https://www.oit.va.gov/Services/TRM/ToolPage.aspx?tid=16402^","Mongo Database (MongoDB) .Net/C# Driver")</f>
      </c>
      <c r="B2524" s="4" t="s">
        <v>3408</v>
      </c>
      <c r="C2524" s="9" t="s">
        <v>6</v>
      </c>
      <c r="D2524" s="12" t="s">
        <v>3409</v>
      </c>
    </row>
    <row r="2525">
      <c r="A2525" s="5">
        <f>HYPERLINK("https://www.oit.va.gov/Services/TRM/ToolPage.aspx?tid=8122^","Monthly Income Plan (MIP) Fund Accounting")</f>
      </c>
      <c r="B2525" s="4" t="s">
        <v>3410</v>
      </c>
      <c r="C2525" s="9" t="s">
        <v>6</v>
      </c>
      <c r="D2525" s="12" t="s">
        <v>3411</v>
      </c>
    </row>
    <row r="2526">
      <c r="A2526" s="5">
        <f>HYPERLINK("https://www.oit.va.gov/Services/TRM/ToolPage.aspx?tid=16752^","Moveo Explorer")</f>
      </c>
      <c r="B2526" s="4" t="s">
        <v>3412</v>
      </c>
      <c r="C2526" s="9" t="s">
        <v>6</v>
      </c>
      <c r="D2526" s="12" t="s">
        <v>3413</v>
      </c>
    </row>
    <row r="2527">
      <c r="A2527" s="5">
        <f>HYPERLINK("https://www.oit.va.gov/Services/TRM/ToolPage.aspx?tid=13924^","Msoft")</f>
      </c>
      <c r="B2527" s="4" t="s">
        <v>3414</v>
      </c>
      <c r="C2527" s="9" t="s">
        <v>6</v>
      </c>
      <c r="D2527" s="12" t="s">
        <v>1602</v>
      </c>
    </row>
    <row r="2528">
      <c r="A2528" s="5">
        <f>HYPERLINK("https://www.oit.va.gov/Services/TRM/ToolPage.aspx?tid=10815^","M-Soft")</f>
      </c>
      <c r="B2528" s="4" t="s">
        <v>1183</v>
      </c>
      <c r="C2528" s="9" t="s">
        <v>6</v>
      </c>
      <c r="D2528" s="12" t="s">
        <v>3415</v>
      </c>
    </row>
    <row r="2529">
      <c r="A2529" s="5">
        <f>HYPERLINK("https://www.oit.va.gov/Services/TRM/ToolPage.aspx?tid=10844^","My Image Garden")</f>
      </c>
      <c r="B2529" s="4" t="s">
        <v>1108</v>
      </c>
      <c r="C2529" s="9" t="s">
        <v>6</v>
      </c>
      <c r="D2529" s="12" t="s">
        <v>3416</v>
      </c>
    </row>
    <row r="2530">
      <c r="A2530" s="5">
        <f>HYPERLINK("https://www.oit.va.gov/Services/TRM/ToolPage.aspx?tid=14374^","My Structured Query Language (MySQL) Database - Commercial Editions")</f>
      </c>
      <c r="B2530" s="4" t="s">
        <v>136</v>
      </c>
      <c r="C2530" s="9" t="s">
        <v>6</v>
      </c>
      <c r="D2530" s="12" t="s">
        <v>3417</v>
      </c>
    </row>
    <row r="2531">
      <c r="A2531" s="5">
        <f>HYPERLINK("https://www.oit.va.gov/Services/TRM/ToolPage.aspx?tid=9071^","MyAvatar")</f>
      </c>
      <c r="B2531" s="4" t="s">
        <v>1275</v>
      </c>
      <c r="C2531" s="9" t="s">
        <v>6</v>
      </c>
      <c r="D2531" s="12" t="s">
        <v>3418</v>
      </c>
    </row>
    <row r="2532">
      <c r="A2532" s="5">
        <f>HYPERLINK("https://www.oit.va.gov/Services/TRM/ToolPage.aspx?tid=14082^","myCare iMedicWare")</f>
      </c>
      <c r="B2532" s="4" t="s">
        <v>1231</v>
      </c>
      <c r="C2532" s="9" t="s">
        <v>6</v>
      </c>
      <c r="D2532" s="12" t="s">
        <v>1446</v>
      </c>
    </row>
    <row r="2533">
      <c r="A2533" s="5">
        <f>HYPERLINK("https://www.oit.va.gov/Services/TRM/ToolPage.aspx?tid=16063^","MyID")</f>
      </c>
      <c r="B2533" s="4" t="s">
        <v>3419</v>
      </c>
      <c r="C2533" s="9" t="s">
        <v>6</v>
      </c>
      <c r="D2533" s="12" t="s">
        <v>3420</v>
      </c>
    </row>
    <row r="2534">
      <c r="A2534" s="5">
        <f>HYPERLINK("https://www.oit.va.gov/Services/TRM/ToolPage.aspx?tid=13482^","MySQL Open Database Connectivity (ODBC) Driver")</f>
      </c>
      <c r="B2534" s="4" t="s">
        <v>136</v>
      </c>
      <c r="C2534" s="9" t="s">
        <v>6</v>
      </c>
      <c r="D2534" s="12" t="s">
        <v>2825</v>
      </c>
    </row>
    <row r="2535">
      <c r="A2535" s="5">
        <f>HYPERLINK("https://www.oit.va.gov/Services/TRM/ToolPage.aspx?tid=16395^","MyViewBoard Whiteboard")</f>
      </c>
      <c r="B2535" s="4" t="s">
        <v>2247</v>
      </c>
      <c r="C2535" s="9" t="s">
        <v>6</v>
      </c>
      <c r="D2535" s="12" t="s">
        <v>995</v>
      </c>
    </row>
    <row r="2536">
      <c r="A2536" s="5">
        <f>HYPERLINK("https://www.oit.va.gov/Services/TRM/ToolPage.aspx?tid=6529^","Nagios Core")</f>
      </c>
      <c r="B2536" s="4" t="s">
        <v>3421</v>
      </c>
      <c r="C2536" s="9" t="s">
        <v>6</v>
      </c>
      <c r="D2536" s="12" t="s">
        <v>3422</v>
      </c>
    </row>
    <row r="2537">
      <c r="A2537" s="5">
        <f>HYPERLINK("https://www.oit.va.gov/Services/TRM/ToolPage.aspx?tid=7713^","Navisworks Simulate")</f>
      </c>
      <c r="B2537" s="4" t="s">
        <v>1800</v>
      </c>
      <c r="C2537" s="9" t="s">
        <v>6</v>
      </c>
      <c r="D2537" s="12" t="s">
        <v>3423</v>
      </c>
    </row>
    <row r="2538">
      <c r="A2538" s="5">
        <f>HYPERLINK("https://www.oit.va.gov/Services/TRM/ToolPage.aspx?tid=15475^","NEC CallCenterWorX Automated Call Distributor (ACD) for Business and Enterprise (B&amp;E) Server")</f>
      </c>
      <c r="B2538" s="4" t="s">
        <v>3324</v>
      </c>
      <c r="C2538" s="9" t="s">
        <v>6</v>
      </c>
      <c r="D2538" s="12" t="s">
        <v>3424</v>
      </c>
    </row>
    <row r="2539">
      <c r="A2539" s="5">
        <f>HYPERLINK("https://www.oit.va.gov/Services/TRM/ToolPage.aspx?tid=15476^","NEC CallCenterWorX Enterprise: Transmission Control Protocol/Internet Protocol (TCP/IP) Maintenance Administration Terminal (MAT)")</f>
      </c>
      <c r="B2539" s="4" t="s">
        <v>3324</v>
      </c>
      <c r="C2539" s="9" t="s">
        <v>6</v>
      </c>
      <c r="D2539" s="12" t="s">
        <v>3425</v>
      </c>
    </row>
    <row r="2540">
      <c r="A2540" s="5">
        <f>HYPERLINK("https://www.oit.va.gov/Services/TRM/ToolPage.aspx?tid=10959^","NEC CallCenterWorX Internal Automated Call Distributor (IACD)")</f>
      </c>
      <c r="B2540" s="4" t="s">
        <v>3324</v>
      </c>
      <c r="C2540" s="9" t="s">
        <v>6</v>
      </c>
      <c r="D2540" s="12" t="s">
        <v>3426</v>
      </c>
    </row>
    <row r="2541">
      <c r="A2541" s="5">
        <f>HYPERLINK("https://www.oit.va.gov/Services/TRM/ToolPage.aspx?tid=9939^","NEC UC (Unified Communications) Attendant")</f>
      </c>
      <c r="B2541" s="4" t="s">
        <v>3324</v>
      </c>
      <c r="C2541" s="9" t="s">
        <v>6</v>
      </c>
      <c r="D2541" s="12" t="s">
        <v>3427</v>
      </c>
    </row>
    <row r="2542">
      <c r="A2542" s="5">
        <f>HYPERLINK("https://www.oit.va.gov/Services/TRM/ToolPage.aspx?tid=9949^","NEC Unified Messaging")</f>
      </c>
      <c r="B2542" s="4" t="s">
        <v>3324</v>
      </c>
      <c r="C2542" s="9" t="s">
        <v>6</v>
      </c>
      <c r="D2542" s="12" t="s">
        <v>3428</v>
      </c>
    </row>
    <row r="2543">
      <c r="A2543" s="5">
        <f>HYPERLINK("https://www.oit.va.gov/Services/TRM/ToolPage.aspx?tid=16642^","Neo4j Bloom")</f>
      </c>
      <c r="B2543" s="4" t="s">
        <v>3429</v>
      </c>
      <c r="C2543" s="9" t="s">
        <v>6</v>
      </c>
      <c r="D2543" s="12" t="s">
        <v>3430</v>
      </c>
    </row>
    <row r="2544">
      <c r="A2544" s="5">
        <f>HYPERLINK("https://www.oit.va.gov/Services/TRM/ToolPage.aspx?tid=11254^","NET Electronic Payment (NETePay)")</f>
      </c>
      <c r="B2544" s="4" t="s">
        <v>3431</v>
      </c>
      <c r="C2544" s="9" t="s">
        <v>6</v>
      </c>
      <c r="D2544" s="12" t="s">
        <v>3238</v>
      </c>
    </row>
    <row r="2545">
      <c r="A2545" s="5">
        <f>HYPERLINK("https://www.oit.va.gov/Services/TRM/ToolPage.aspx?tid=9770^","NetApp OnCommand Insight")</f>
      </c>
      <c r="B2545" s="4" t="s">
        <v>472</v>
      </c>
      <c r="C2545" s="9" t="s">
        <v>6</v>
      </c>
      <c r="D2545" s="12" t="s">
        <v>3432</v>
      </c>
    </row>
    <row r="2546">
      <c r="A2546" s="5">
        <f>HYPERLINK("https://www.oit.va.gov/Services/TRM/ToolPage.aspx?tid=10113^","NetApp StorageGRID")</f>
      </c>
      <c r="B2546" s="4" t="s">
        <v>472</v>
      </c>
      <c r="C2546" s="9" t="s">
        <v>6</v>
      </c>
      <c r="D2546" s="12" t="s">
        <v>3433</v>
      </c>
    </row>
    <row r="2547">
      <c r="A2547" s="5">
        <f>HYPERLINK("https://www.oit.va.gov/Services/TRM/ToolPage.aspx?tid=7704^","NetBrain")</f>
      </c>
      <c r="B2547" s="4" t="s">
        <v>3434</v>
      </c>
      <c r="C2547" s="9" t="s">
        <v>6</v>
      </c>
      <c r="D2547" s="12" t="s">
        <v>3435</v>
      </c>
    </row>
    <row r="2548">
      <c r="A2548" s="5">
        <f>HYPERLINK("https://www.oit.va.gov/Services/TRM/ToolPage.aspx?tid=15854^","Netskope Client")</f>
      </c>
      <c r="B2548" s="4" t="s">
        <v>3436</v>
      </c>
      <c r="C2548" s="9" t="s">
        <v>6</v>
      </c>
      <c r="D2548" s="12" t="s">
        <v>3437</v>
      </c>
    </row>
    <row r="2549">
      <c r="A2549" s="5">
        <f>HYPERLINK("https://www.oit.va.gov/Services/TRM/ToolPage.aspx?tid=16362^","Netwrix Auditor")</f>
      </c>
      <c r="B2549" s="4" t="s">
        <v>3438</v>
      </c>
      <c r="C2549" s="9" t="s">
        <v>6</v>
      </c>
      <c r="D2549" s="12" t="s">
        <v>3439</v>
      </c>
    </row>
    <row r="2550">
      <c r="A2550" s="5">
        <f>HYPERLINK("https://www.oit.va.gov/Services/TRM/ToolPage.aspx?tid=15179^","NeuroTrax Desktop")</f>
      </c>
      <c r="B2550" s="4" t="s">
        <v>3440</v>
      </c>
      <c r="C2550" s="9" t="s">
        <v>6</v>
      </c>
      <c r="D2550" s="12" t="s">
        <v>653</v>
      </c>
    </row>
    <row r="2551">
      <c r="A2551" s="5">
        <f>HYPERLINK("https://www.oit.va.gov/Services/TRM/ToolPage.aspx?tid=15312^","Nexlog DX-Series Recording Solution")</f>
      </c>
      <c r="B2551" s="4" t="s">
        <v>3441</v>
      </c>
      <c r="C2551" s="9" t="s">
        <v>6</v>
      </c>
      <c r="D2551" s="12" t="s">
        <v>3442</v>
      </c>
    </row>
    <row r="2552">
      <c r="A2552" s="5">
        <f>HYPERLINK("https://www.oit.va.gov/Services/TRM/ToolPage.aspx?tid=16680^","Nexus IQ Server")</f>
      </c>
      <c r="B2552" s="4" t="s">
        <v>3443</v>
      </c>
      <c r="C2552" s="9" t="s">
        <v>6</v>
      </c>
      <c r="D2552" s="12" t="s">
        <v>3444</v>
      </c>
    </row>
    <row r="2553">
      <c r="A2553" s="5">
        <f>HYPERLINK("https://www.oit.va.gov/Services/TRM/ToolPage.aspx?tid=13065^","Niagara 4")</f>
      </c>
      <c r="B2553" s="4" t="s">
        <v>3445</v>
      </c>
      <c r="C2553" s="9" t="s">
        <v>6</v>
      </c>
      <c r="D2553" s="12" t="s">
        <v>3446</v>
      </c>
    </row>
    <row r="2554">
      <c r="A2554" s="5">
        <f>HYPERLINK("https://www.oit.va.gov/Services/TRM/ToolPage.aspx?tid=14241^","Niagara Supervisor")</f>
      </c>
      <c r="B2554" s="4" t="s">
        <v>3445</v>
      </c>
      <c r="C2554" s="9" t="s">
        <v>6</v>
      </c>
      <c r="D2554" s="12" t="s">
        <v>521</v>
      </c>
    </row>
    <row r="2555">
      <c r="A2555" s="5">
        <f>HYPERLINK("https://www.oit.va.gov/Services/TRM/ToolPage.aspx?tid=16586^","NICE CXOne Screen Agent")</f>
      </c>
      <c r="B2555" s="4" t="s">
        <v>1280</v>
      </c>
      <c r="C2555" s="9" t="s">
        <v>6</v>
      </c>
      <c r="D2555" s="12" t="s">
        <v>3447</v>
      </c>
    </row>
    <row r="2556">
      <c r="A2556" s="5">
        <f>HYPERLINK("https://www.oit.va.gov/Services/TRM/ToolPage.aspx?tid=16375^","NICE Desktop Cloud Visualization (DCV)")</f>
      </c>
      <c r="B2556" s="4" t="s">
        <v>778</v>
      </c>
      <c r="C2556" s="9" t="s">
        <v>6</v>
      </c>
      <c r="D2556" s="12" t="s">
        <v>1666</v>
      </c>
    </row>
    <row r="2557">
      <c r="A2557" s="5">
        <f>HYPERLINK("https://www.oit.va.gov/Services/TRM/ToolPage.aspx?tid=16377^","NICE Desktop Cloud Visualization (DCV) Server")</f>
      </c>
      <c r="B2557" s="4" t="s">
        <v>2238</v>
      </c>
      <c r="C2557" s="9" t="s">
        <v>6</v>
      </c>
      <c r="D2557" s="12" t="s">
        <v>1666</v>
      </c>
    </row>
    <row r="2558">
      <c r="A2558" s="5">
        <f>HYPERLINK("https://www.oit.va.gov/Services/TRM/ToolPage.aspx?tid=15880^","NICE Inform")</f>
      </c>
      <c r="B2558" s="4" t="s">
        <v>1280</v>
      </c>
      <c r="C2558" s="9" t="s">
        <v>6</v>
      </c>
      <c r="D2558" s="12" t="s">
        <v>1138</v>
      </c>
    </row>
    <row r="2559">
      <c r="A2559" s="5">
        <f>HYPERLINK("https://www.oit.va.gov/Services/TRM/ToolPage.aspx?tid=15881^","NICE Inform Recorder")</f>
      </c>
      <c r="B2559" s="4" t="s">
        <v>1280</v>
      </c>
      <c r="C2559" s="9" t="s">
        <v>6</v>
      </c>
      <c r="D2559" s="12" t="s">
        <v>2860</v>
      </c>
    </row>
    <row r="2560">
      <c r="A2560" s="5">
        <f>HYPERLINK("https://www.oit.va.gov/Services/TRM/ToolPage.aspx?tid=7901^","NICE Workforce Management (WFM)")</f>
      </c>
      <c r="B2560" s="4" t="s">
        <v>1280</v>
      </c>
      <c r="C2560" s="9" t="s">
        <v>6</v>
      </c>
      <c r="D2560" s="12" t="s">
        <v>3426</v>
      </c>
    </row>
    <row r="2561">
      <c r="A2561" s="5">
        <f>HYPERLINK("https://www.oit.va.gov/Services/TRM/ToolPage.aspx?tid=6715^","NiceLabel")</f>
      </c>
      <c r="B2561" s="4" t="s">
        <v>3448</v>
      </c>
      <c r="C2561" s="9" t="s">
        <v>6</v>
      </c>
      <c r="D2561" s="12" t="s">
        <v>2848</v>
      </c>
    </row>
    <row r="2562">
      <c r="A2562" s="5">
        <f>HYPERLINK("https://www.oit.va.gov/Services/TRM/ToolPage.aspx?tid=15442^","NilRead Viewer")</f>
      </c>
      <c r="B2562" s="4" t="s">
        <v>746</v>
      </c>
      <c r="C2562" s="9" t="s">
        <v>6</v>
      </c>
      <c r="D2562" s="12" t="s">
        <v>3449</v>
      </c>
    </row>
    <row r="2563">
      <c r="A2563" s="5">
        <f>HYPERLINK("https://www.oit.va.gov/Services/TRM/ToolPage.aspx?tid=16086^","Ninject")</f>
      </c>
      <c r="B2563" s="4" t="s">
        <v>3450</v>
      </c>
      <c r="C2563" s="9" t="s">
        <v>6</v>
      </c>
      <c r="D2563" s="12" t="s">
        <v>3451</v>
      </c>
    </row>
    <row r="2564">
      <c r="A2564" s="5">
        <f>HYPERLINK("https://www.oit.va.gov/Services/TRM/ToolPage.aspx?tid=8535^","NLog")</f>
      </c>
      <c r="B2564" s="4" t="s">
        <v>3452</v>
      </c>
      <c r="C2564" s="9" t="s">
        <v>6</v>
      </c>
      <c r="D2564" s="12" t="s">
        <v>3453</v>
      </c>
    </row>
    <row r="2565">
      <c r="A2565" s="5">
        <f>HYPERLINK("https://www.oit.va.gov/Services/TRM/ToolPage.aspx?tid=16487^","Nlyte Asset Optimizer (NAO)")</f>
      </c>
      <c r="B2565" s="4" t="s">
        <v>3454</v>
      </c>
      <c r="C2565" s="9" t="s">
        <v>6</v>
      </c>
      <c r="D2565" s="12" t="s">
        <v>3455</v>
      </c>
    </row>
    <row r="2566">
      <c r="A2566" s="5">
        <f>HYPERLINK("https://www.oit.va.gov/Services/TRM/ToolPage.aspx?tid=10358^","Nlyte Energy Optimizer (NEO)")</f>
      </c>
      <c r="B2566" s="4" t="s">
        <v>3454</v>
      </c>
      <c r="C2566" s="9" t="s">
        <v>6</v>
      </c>
      <c r="D2566" s="12" t="s">
        <v>3456</v>
      </c>
    </row>
    <row r="2567">
      <c r="A2567" s="5">
        <f>HYPERLINK("https://www.oit.va.gov/Services/TRM/ToolPage.aspx?tid=16702^","nordicAktiva")</f>
      </c>
      <c r="B2567" s="4" t="s">
        <v>3457</v>
      </c>
      <c r="C2567" s="9" t="s">
        <v>6</v>
      </c>
      <c r="D2567" s="12" t="s">
        <v>3458</v>
      </c>
    </row>
    <row r="2568">
      <c r="A2568" s="5">
        <f>HYPERLINK("https://www.oit.va.gov/Services/TRM/ToolPage.aspx?tid=9910^","Northcon")</f>
      </c>
      <c r="B2568" s="4" t="s">
        <v>1981</v>
      </c>
      <c r="C2568" s="9" t="s">
        <v>6</v>
      </c>
      <c r="D2568" s="12" t="s">
        <v>23</v>
      </c>
    </row>
    <row r="2569">
      <c r="A2569" s="5">
        <f>HYPERLINK("https://www.oit.va.gov/Services/TRM/ToolPage.aspx?tid=6551^","novaLINK")</f>
      </c>
      <c r="B2569" s="4" t="s">
        <v>3459</v>
      </c>
      <c r="C2569" s="9" t="s">
        <v>6</v>
      </c>
      <c r="D2569" s="12" t="s">
        <v>3460</v>
      </c>
    </row>
    <row r="2570">
      <c r="A2570" s="5">
        <f>HYPERLINK("https://www.oit.va.gov/Services/TRM/ToolPage.aspx?tid=14048^","NovaNet Desktop Device Management Software")</f>
      </c>
      <c r="B2570" s="4" t="s">
        <v>3461</v>
      </c>
      <c r="C2570" s="9" t="s">
        <v>6</v>
      </c>
      <c r="D2570" s="12" t="s">
        <v>3462</v>
      </c>
    </row>
    <row r="2571">
      <c r="A2571" s="5">
        <f>HYPERLINK("https://www.oit.va.gov/Services/TRM/ToolPage.aspx?tid=7217^","nQuery")</f>
      </c>
      <c r="B2571" s="4" t="s">
        <v>3463</v>
      </c>
      <c r="C2571" s="9" t="s">
        <v>6</v>
      </c>
      <c r="D2571" s="12" t="s">
        <v>3464</v>
      </c>
    </row>
    <row r="2572">
      <c r="A2572" s="5">
        <f>HYPERLINK("https://www.oit.va.gov/Services/TRM/ToolPage.aspx?tid=16584^","Nuance PowerConnect Communicator")</f>
      </c>
      <c r="B2572" s="4" t="s">
        <v>342</v>
      </c>
      <c r="C2572" s="9" t="s">
        <v>6</v>
      </c>
      <c r="D2572" s="12" t="s">
        <v>3465</v>
      </c>
    </row>
    <row r="2573">
      <c r="A2573" s="5">
        <f>HYPERLINK("https://www.oit.va.gov/Services/TRM/ToolPage.aspx?tid=10890^","Nutrition Care Management (NCM)")</f>
      </c>
      <c r="B2573" s="4" t="s">
        <v>3466</v>
      </c>
      <c r="C2573" s="9" t="s">
        <v>6</v>
      </c>
      <c r="D2573" s="12" t="s">
        <v>3467</v>
      </c>
    </row>
    <row r="2574">
      <c r="A2574" s="5">
        <f>HYPERLINK("https://www.oit.va.gov/Services/TRM/ToolPage.aspx?tid=6085^","NVivo")</f>
      </c>
      <c r="B2574" s="4" t="s">
        <v>2180</v>
      </c>
      <c r="C2574" s="9" t="s">
        <v>6</v>
      </c>
      <c r="D2574" s="12" t="s">
        <v>3468</v>
      </c>
    </row>
    <row r="2575">
      <c r="A2575" s="5">
        <f>HYPERLINK("https://www.oit.va.gov/Services/TRM/ToolPage.aspx?tid=16047^","NVivo Collaboration Server")</f>
      </c>
      <c r="B2575" s="4" t="s">
        <v>2519</v>
      </c>
      <c r="C2575" s="9" t="s">
        <v>6</v>
      </c>
      <c r="D2575" s="12" t="s">
        <v>3469</v>
      </c>
    </row>
    <row r="2576">
      <c r="A2576" s="5">
        <f>HYPERLINK("https://www.oit.va.gov/Services/TRM/ToolPage.aspx?tid=16483^","Obsidian Notes")</f>
      </c>
      <c r="B2576" s="4" t="s">
        <v>3470</v>
      </c>
      <c r="C2576" s="9" t="s">
        <v>6</v>
      </c>
      <c r="D2576" s="12" t="s">
        <v>3471</v>
      </c>
    </row>
    <row r="2577">
      <c r="A2577" s="5">
        <f>HYPERLINK("https://www.oit.va.gov/Services/TRM/ToolPage.aspx?tid=16484^","Ocean Next")</f>
      </c>
      <c r="B2577" s="4" t="s">
        <v>3472</v>
      </c>
      <c r="C2577" s="9" t="s">
        <v>6</v>
      </c>
      <c r="D2577" s="12" t="s">
        <v>420</v>
      </c>
    </row>
    <row r="2578">
      <c r="A2578" s="5">
        <f>HYPERLINK("https://www.oit.va.gov/Services/TRM/ToolPage.aspx?tid=15304^","OceaView")</f>
      </c>
      <c r="B2578" s="4" t="s">
        <v>2967</v>
      </c>
      <c r="C2578" s="9" t="s">
        <v>6</v>
      </c>
      <c r="D2578" s="12" t="s">
        <v>27</v>
      </c>
    </row>
    <row r="2579">
      <c r="A2579" s="5">
        <f>HYPERLINK("https://www.oit.va.gov/Services/TRM/ToolPage.aspx?tid=7084^","Octopus Deploy")</f>
      </c>
      <c r="B2579" s="4" t="s">
        <v>3473</v>
      </c>
      <c r="C2579" s="9" t="s">
        <v>6</v>
      </c>
      <c r="D2579" s="12" t="s">
        <v>1755</v>
      </c>
    </row>
    <row r="2580">
      <c r="A2580" s="5">
        <f>HYPERLINK("https://www.oit.va.gov/Services/TRM/ToolPage.aspx?tid=10010^","Ocularis Video Management Software (VMS)")</f>
      </c>
      <c r="B2580" s="4" t="s">
        <v>3474</v>
      </c>
      <c r="C2580" s="9" t="s">
        <v>6</v>
      </c>
      <c r="D2580" s="12" t="s">
        <v>1305</v>
      </c>
    </row>
    <row r="2581">
      <c r="A2581" s="5">
        <f>HYPERLINK("https://www.oit.va.gov/Services/TRM/ToolPage.aspx?tid=9073^","Odyssey Case Manager")</f>
      </c>
      <c r="B2581" s="4" t="s">
        <v>1581</v>
      </c>
      <c r="C2581" s="9" t="s">
        <v>6</v>
      </c>
      <c r="D2581" s="12" t="s">
        <v>3475</v>
      </c>
    </row>
    <row r="2582">
      <c r="A2582" s="5">
        <f>HYPERLINK("https://www.oit.va.gov/Services/TRM/ToolPage.aspx?tid=14698^","Okta Browser Plugin")</f>
      </c>
      <c r="B2582" s="4" t="s">
        <v>3476</v>
      </c>
      <c r="C2582" s="9" t="s">
        <v>6</v>
      </c>
      <c r="D2582" s="12" t="s">
        <v>3477</v>
      </c>
    </row>
    <row r="2583">
      <c r="A2583" s="5">
        <f>HYPERLINK("https://www.oit.va.gov/Services/TRM/ToolPage.aspx?tid=16568^","Olympus Workspace")</f>
      </c>
      <c r="B2583" s="4" t="s">
        <v>1586</v>
      </c>
      <c r="C2583" s="9" t="s">
        <v>6</v>
      </c>
      <c r="D2583" s="12" t="s">
        <v>3478</v>
      </c>
    </row>
    <row r="2584">
      <c r="A2584" s="5">
        <f>HYPERLINK("https://www.oit.va.gov/Services/TRM/ToolPage.aspx?tid=13023^","Omni-Assistant")</f>
      </c>
      <c r="B2584" s="4" t="s">
        <v>2049</v>
      </c>
      <c r="C2584" s="9" t="s">
        <v>6</v>
      </c>
      <c r="D2584" s="12" t="s">
        <v>3479</v>
      </c>
    </row>
    <row r="2585">
      <c r="A2585" s="5">
        <f>HYPERLINK("https://www.oit.va.gov/Services/TRM/ToolPage.aspx?tid=9075^","Omnigo Incident Reporting")</f>
      </c>
      <c r="B2585" s="4" t="s">
        <v>3480</v>
      </c>
      <c r="C2585" s="9" t="s">
        <v>6</v>
      </c>
      <c r="D2585" s="12" t="s">
        <v>3425</v>
      </c>
    </row>
    <row r="2586">
      <c r="A2586" s="5">
        <f>HYPERLINK("https://www.oit.va.gov/Services/TRM/ToolPage.aspx?tid=11703^","OmniLab Direct")</f>
      </c>
      <c r="B2586" s="4" t="s">
        <v>919</v>
      </c>
      <c r="C2586" s="9" t="s">
        <v>6</v>
      </c>
      <c r="D2586" s="12" t="s">
        <v>3481</v>
      </c>
    </row>
    <row r="2587">
      <c r="A2587" s="5">
        <f>HYPERLINK("https://www.oit.va.gov/Services/TRM/ToolPage.aspx?tid=5681^","OmniPage")</f>
      </c>
      <c r="B2587" s="4" t="s">
        <v>1181</v>
      </c>
      <c r="C2587" s="9" t="s">
        <v>6</v>
      </c>
      <c r="D2587" s="12" t="s">
        <v>3482</v>
      </c>
    </row>
    <row r="2588">
      <c r="A2588" s="5">
        <f>HYPERLINK("https://www.oit.va.gov/Services/TRM/ToolPage.aspx?tid=8177^","OmniPage Capture Software Development Kit (CSDK)")</f>
      </c>
      <c r="B2588" s="4" t="s">
        <v>3483</v>
      </c>
      <c r="C2588" s="9" t="s">
        <v>6</v>
      </c>
      <c r="D2588" s="12" t="s">
        <v>3484</v>
      </c>
    </row>
    <row r="2589">
      <c r="A2589" s="5">
        <f>HYPERLINK("https://www.oit.va.gov/Services/TRM/ToolPage.aspx?tid=7767^","Omnivisor Pro")</f>
      </c>
      <c r="B2589" s="4" t="s">
        <v>1089</v>
      </c>
      <c r="C2589" s="9" t="s">
        <v>6</v>
      </c>
      <c r="D2589" s="12" t="s">
        <v>3485</v>
      </c>
    </row>
    <row r="2590">
      <c r="A2590" s="5">
        <f>HYPERLINK("https://www.oit.va.gov/Services/TRM/ToolPage.aspx?tid=13087^","Opal")</f>
      </c>
      <c r="B2590" s="4" t="s">
        <v>3486</v>
      </c>
      <c r="C2590" s="9" t="s">
        <v>6</v>
      </c>
      <c r="D2590" s="12" t="s">
        <v>3487</v>
      </c>
    </row>
    <row r="2591">
      <c r="A2591" s="5">
        <f>HYPERLINK("https://www.oit.va.gov/Services/TRM/ToolPage.aspx?tid=6329^","OpenClinica")</f>
      </c>
      <c r="B2591" s="4" t="s">
        <v>3488</v>
      </c>
      <c r="C2591" s="9" t="s">
        <v>6</v>
      </c>
      <c r="D2591" s="12" t="s">
        <v>3489</v>
      </c>
    </row>
    <row r="2592">
      <c r="A2592" s="5">
        <f>HYPERLINK("https://www.oit.va.gov/Services/TRM/ToolPage.aspx?tid=8414^","OpenScape Xpressions")</f>
      </c>
      <c r="B2592" s="4" t="s">
        <v>2313</v>
      </c>
      <c r="C2592" s="9" t="s">
        <v>6</v>
      </c>
      <c r="D2592" s="12" t="s">
        <v>3490</v>
      </c>
    </row>
    <row r="2593">
      <c r="A2593" s="5">
        <f>HYPERLINK("https://www.oit.va.gov/Services/TRM/ToolPage.aspx?tid=5683^","OpenText RightFax")</f>
      </c>
      <c r="B2593" s="4" t="s">
        <v>651</v>
      </c>
      <c r="C2593" s="9" t="s">
        <v>6</v>
      </c>
      <c r="D2593" s="12" t="s">
        <v>3491</v>
      </c>
    </row>
    <row r="2594">
      <c r="A2594" s="5">
        <f>HYPERLINK("https://www.oit.va.gov/Services/TRM/ToolPage.aspx?tid=7250^","OPN-2001 Companion Application Download Utility")</f>
      </c>
      <c r="B2594" s="4" t="s">
        <v>3492</v>
      </c>
      <c r="C2594" s="9" t="s">
        <v>6</v>
      </c>
      <c r="D2594" s="12" t="s">
        <v>3493</v>
      </c>
    </row>
    <row r="2595">
      <c r="A2595" s="5">
        <f>HYPERLINK("https://www.oit.va.gov/Services/TRM/ToolPage.aspx?tid=6026^","Optical Character Recognition (OCR) Module")</f>
      </c>
      <c r="B2595" s="4" t="s">
        <v>2062</v>
      </c>
      <c r="C2595" s="9" t="s">
        <v>6</v>
      </c>
      <c r="D2595" s="12" t="s">
        <v>3494</v>
      </c>
    </row>
    <row r="2596">
      <c r="A2596" s="5">
        <f>HYPERLINK("https://www.oit.va.gov/Services/TRM/ToolPage.aspx?tid=15403^","Oqton Freeform")</f>
      </c>
      <c r="B2596" s="4" t="s">
        <v>3495</v>
      </c>
      <c r="C2596" s="9" t="s">
        <v>6</v>
      </c>
      <c r="D2596" s="12" t="s">
        <v>3496</v>
      </c>
    </row>
    <row r="2597">
      <c r="A2597" s="5">
        <f>HYPERLINK("https://www.oit.va.gov/Services/TRM/ToolPage.aspx?tid=14758^","Oracle Application Express (APEX)")</f>
      </c>
      <c r="B2597" s="4" t="s">
        <v>136</v>
      </c>
      <c r="C2597" s="9" t="s">
        <v>6</v>
      </c>
      <c r="D2597" s="12" t="s">
        <v>1061</v>
      </c>
    </row>
    <row r="2598">
      <c r="A2598" s="5">
        <f>HYPERLINK("https://www.oit.va.gov/Services/TRM/ToolPage.aspx?tid=16013^","Oracle Crystal Ball")</f>
      </c>
      <c r="B2598" s="4" t="s">
        <v>136</v>
      </c>
      <c r="C2598" s="9" t="s">
        <v>6</v>
      </c>
      <c r="D2598" s="12" t="s">
        <v>3490</v>
      </c>
    </row>
    <row r="2599">
      <c r="A2599" s="5">
        <f>HYPERLINK("https://www.oit.va.gov/Services/TRM/ToolPage.aspx?tid=7233^","Oracle GoldenGate")</f>
      </c>
      <c r="B2599" s="4" t="s">
        <v>136</v>
      </c>
      <c r="C2599" s="9" t="s">
        <v>6</v>
      </c>
      <c r="D2599" s="12" t="s">
        <v>507</v>
      </c>
    </row>
    <row r="2600">
      <c r="A2600" s="5">
        <f>HYPERLINK("https://www.oit.va.gov/Services/TRM/ToolPage.aspx?tid=16564^","Oracle GoldenGate Veridata")</f>
      </c>
      <c r="B2600" s="4" t="s">
        <v>136</v>
      </c>
      <c r="C2600" s="9" t="s">
        <v>6</v>
      </c>
      <c r="D2600" s="12" t="s">
        <v>3497</v>
      </c>
    </row>
    <row r="2601">
      <c r="A2601" s="5">
        <f>HYPERLINK("https://www.oit.va.gov/Services/TRM/ToolPage.aspx?tid=8269^","Oracle Hyperion Financial Management")</f>
      </c>
      <c r="B2601" s="4" t="s">
        <v>136</v>
      </c>
      <c r="C2601" s="9" t="s">
        <v>6</v>
      </c>
      <c r="D2601" s="12" t="s">
        <v>416</v>
      </c>
    </row>
    <row r="2602">
      <c r="A2602" s="5">
        <f>HYPERLINK("https://www.oit.va.gov/Services/TRM/ToolPage.aspx?tid=6503^","Oracle Hypertext Transfer Protocol (HTTP) Server")</f>
      </c>
      <c r="B2602" s="4" t="s">
        <v>136</v>
      </c>
      <c r="C2602" s="9" t="s">
        <v>6</v>
      </c>
      <c r="D2602" s="12" t="s">
        <v>3498</v>
      </c>
    </row>
    <row r="2603">
      <c r="A2603" s="5">
        <f>HYPERLINK("https://www.oit.va.gov/Services/TRM/ToolPage.aspx?tid=6986^","Oracle Load Testing (OLT)")</f>
      </c>
      <c r="B2603" s="4" t="s">
        <v>136</v>
      </c>
      <c r="C2603" s="9" t="s">
        <v>6</v>
      </c>
      <c r="D2603" s="12" t="s">
        <v>873</v>
      </c>
    </row>
    <row r="2604">
      <c r="A2604" s="5">
        <f>HYPERLINK("https://www.oit.va.gov/Services/TRM/ToolPage.aspx?tid=13808^","Oracle Retail Merchandising System")</f>
      </c>
      <c r="B2604" s="4" t="s">
        <v>136</v>
      </c>
      <c r="C2604" s="9" t="s">
        <v>6</v>
      </c>
      <c r="D2604" s="12" t="s">
        <v>3499</v>
      </c>
    </row>
    <row r="2605">
      <c r="A2605" s="5">
        <f>HYPERLINK("https://www.oit.va.gov/Services/TRM/ToolPage.aspx?tid=13834^","Oracle Retail Price Management")</f>
      </c>
      <c r="B2605" s="4" t="s">
        <v>136</v>
      </c>
      <c r="C2605" s="9" t="s">
        <v>6</v>
      </c>
      <c r="D2605" s="12" t="s">
        <v>1553</v>
      </c>
    </row>
    <row r="2606">
      <c r="A2606" s="5">
        <f>HYPERLINK("https://www.oit.va.gov/Services/TRM/ToolPage.aspx?tid=13875^","Oracle Retail Sales Audit")</f>
      </c>
      <c r="B2606" s="4" t="s">
        <v>136</v>
      </c>
      <c r="C2606" s="9" t="s">
        <v>6</v>
      </c>
      <c r="D2606" s="12" t="s">
        <v>3386</v>
      </c>
    </row>
    <row r="2607">
      <c r="A2607" s="5">
        <f>HYPERLINK("https://www.oit.va.gov/Services/TRM/ToolPage.aspx?tid=14638^","Oracle Unified Directory (OUD)")</f>
      </c>
      <c r="B2607" s="4" t="s">
        <v>136</v>
      </c>
      <c r="C2607" s="9" t="s">
        <v>6</v>
      </c>
      <c r="D2607" s="12" t="s">
        <v>3500</v>
      </c>
    </row>
    <row r="2608">
      <c r="A2608" s="5">
        <f>HYPERLINK("https://www.oit.va.gov/Services/TRM/ToolPage.aspx?tid=7321^","Orbacus")</f>
      </c>
      <c r="B2608" s="4" t="s">
        <v>1411</v>
      </c>
      <c r="C2608" s="9" t="s">
        <v>6</v>
      </c>
      <c r="D2608" s="12" t="s">
        <v>1513</v>
      </c>
    </row>
    <row r="2609">
      <c r="A2609" s="5">
        <f>HYPERLINK("https://www.oit.va.gov/Services/TRM/ToolPage.aspx?tid=16187^","Order Tracking Management (OTM) - Radiology Module")</f>
      </c>
      <c r="B2609" s="4" t="s">
        <v>294</v>
      </c>
      <c r="C2609" s="9" t="s">
        <v>6</v>
      </c>
      <c r="D2609" s="12" t="s">
        <v>3501</v>
      </c>
    </row>
    <row r="2610">
      <c r="A2610" s="5">
        <f>HYPERLINK("https://www.oit.va.gov/Services/TRM/ToolPage.aspx?tid=6872^","OrthoView")</f>
      </c>
      <c r="B2610" s="4" t="s">
        <v>3362</v>
      </c>
      <c r="C2610" s="9" t="s">
        <v>6</v>
      </c>
      <c r="D2610" s="12" t="s">
        <v>2119</v>
      </c>
    </row>
    <row r="2611">
      <c r="A2611" s="5">
        <f>HYPERLINK("https://www.oit.va.gov/Services/TRM/ToolPage.aspx?tid=7673^","Output Manager")</f>
      </c>
      <c r="B2611" s="4" t="s">
        <v>3483</v>
      </c>
      <c r="C2611" s="9" t="s">
        <v>6</v>
      </c>
      <c r="D2611" s="12" t="s">
        <v>3502</v>
      </c>
    </row>
    <row r="2612">
      <c r="A2612" s="5">
        <f>HYPERLINK("https://www.oit.va.gov/Services/TRM/ToolPage.aspx?tid=15337^","Over-the-Counter Channel Local Bridge (OTCnet OLB)")</f>
      </c>
      <c r="B2612" s="4" t="s">
        <v>3503</v>
      </c>
      <c r="C2612" s="9" t="s">
        <v>6</v>
      </c>
      <c r="D2612" s="12" t="s">
        <v>296</v>
      </c>
    </row>
    <row r="2613">
      <c r="A2613" s="5">
        <f>HYPERLINK("https://www.oit.va.gov/Services/TRM/ToolPage.aspx?tid=16159^","Paessler Router Traffic Grapher (PRTG )")</f>
      </c>
      <c r="B2613" s="4" t="s">
        <v>3504</v>
      </c>
      <c r="C2613" s="9" t="s">
        <v>6</v>
      </c>
      <c r="D2613" s="12" t="s">
        <v>104</v>
      </c>
    </row>
    <row r="2614">
      <c r="A2614" s="5">
        <f>HYPERLINK("https://www.oit.va.gov/Services/TRM/ToolPage.aspx?tid=16148^","Paessler Router Traffic Grapher (PRTG) Desktop")</f>
      </c>
      <c r="B2614" s="4" t="s">
        <v>3504</v>
      </c>
      <c r="C2614" s="9" t="s">
        <v>6</v>
      </c>
      <c r="D2614" s="12" t="s">
        <v>2555</v>
      </c>
    </row>
    <row r="2615">
      <c r="A2615" s="5">
        <f>HYPERLINK("https://www.oit.va.gov/Services/TRM/ToolPage.aspx?tid=8067^","Paessler Router Traffic Grapher (PRTG) Network Monitor")</f>
      </c>
      <c r="B2615" s="4" t="s">
        <v>3504</v>
      </c>
      <c r="C2615" s="9" t="s">
        <v>6</v>
      </c>
      <c r="D2615" s="12" t="s">
        <v>1745</v>
      </c>
    </row>
    <row r="2616">
      <c r="A2616" s="5">
        <f>HYPERLINK("https://www.oit.va.gov/Services/TRM/ToolPage.aspx?tid=10430^","PageGate")</f>
      </c>
      <c r="B2616" s="4" t="s">
        <v>3505</v>
      </c>
      <c r="C2616" s="9" t="s">
        <v>6</v>
      </c>
      <c r="D2616" s="12" t="s">
        <v>942</v>
      </c>
    </row>
    <row r="2617">
      <c r="A2617" s="5">
        <f>HYPERLINK("https://www.oit.va.gov/Services/TRM/ToolPage.aspx?tid=16577^","PAM-PKCS11 Linux Module")</f>
      </c>
      <c r="B2617" s="4" t="s">
        <v>3506</v>
      </c>
      <c r="C2617" s="9" t="s">
        <v>6</v>
      </c>
      <c r="D2617" s="12" t="s">
        <v>3507</v>
      </c>
    </row>
    <row r="2618">
      <c r="A2618" s="5">
        <f>HYPERLINK("https://www.oit.va.gov/Services/TRM/ToolPage.aspx?tid=5685^","PaperPort")</f>
      </c>
      <c r="B2618" s="4" t="s">
        <v>1181</v>
      </c>
      <c r="C2618" s="9" t="s">
        <v>6</v>
      </c>
      <c r="D2618" s="12" t="s">
        <v>3508</v>
      </c>
    </row>
    <row r="2619">
      <c r="A2619" s="5">
        <f>HYPERLINK("https://www.oit.va.gov/Services/TRM/ToolPage.aspx?tid=13060^","Parable Post-Acute-Inpatient")</f>
      </c>
      <c r="B2619" s="4" t="s">
        <v>3509</v>
      </c>
      <c r="C2619" s="9" t="s">
        <v>6</v>
      </c>
      <c r="D2619" s="12" t="s">
        <v>3510</v>
      </c>
    </row>
    <row r="2620">
      <c r="A2620" s="5">
        <f>HYPERLINK("https://www.oit.va.gov/Services/TRM/ToolPage.aspx?tid=16548^","Parametric Technology Corporation (PTC) Mathcad Prime")</f>
      </c>
      <c r="B2620" s="4" t="s">
        <v>3511</v>
      </c>
      <c r="C2620" s="9" t="s">
        <v>6</v>
      </c>
      <c r="D2620" s="12" t="s">
        <v>3512</v>
      </c>
    </row>
    <row r="2621">
      <c r="A2621" s="5">
        <f>HYPERLINK("https://www.oit.va.gov/Services/TRM/ToolPage.aspx?tid=16042^","Parlay")</f>
      </c>
      <c r="B2621" s="4" t="s">
        <v>3513</v>
      </c>
      <c r="C2621" s="9" t="s">
        <v>6</v>
      </c>
      <c r="D2621" s="12" t="s">
        <v>3514</v>
      </c>
    </row>
    <row r="2622">
      <c r="A2622" s="5">
        <f>HYPERLINK("https://www.oit.va.gov/Services/TRM/ToolPage.aspx?tid=16049^","Patient Appointment Check-in Expansion (PACE)")</f>
      </c>
      <c r="B2622" s="4" t="s">
        <v>294</v>
      </c>
      <c r="C2622" s="9" t="s">
        <v>6</v>
      </c>
      <c r="D2622" s="12" t="s">
        <v>3515</v>
      </c>
    </row>
    <row r="2623">
      <c r="A2623" s="5">
        <f>HYPERLINK("https://www.oit.va.gov/Services/TRM/ToolPage.aspx?tid=16269^","Pavement-Transportation Computer Assisted Structural Engineering (PCASE)")</f>
      </c>
      <c r="B2623" s="4" t="s">
        <v>3389</v>
      </c>
      <c r="C2623" s="9" t="s">
        <v>6</v>
      </c>
      <c r="D2623" s="12" t="s">
        <v>3516</v>
      </c>
    </row>
    <row r="2624">
      <c r="A2624" s="5">
        <f>HYPERLINK("https://www.oit.va.gov/Services/TRM/ToolPage.aspx?tid=15701^","PCXMC")</f>
      </c>
      <c r="B2624" s="4" t="s">
        <v>3517</v>
      </c>
      <c r="C2624" s="9" t="s">
        <v>6</v>
      </c>
      <c r="D2624" s="12" t="s">
        <v>3469</v>
      </c>
    </row>
    <row r="2625">
      <c r="A2625" s="5">
        <f>HYPERLINK("https://www.oit.va.gov/Services/TRM/ToolPage.aspx?tid=16665^","PDQ Deploy")</f>
      </c>
      <c r="B2625" s="4" t="s">
        <v>3518</v>
      </c>
      <c r="C2625" s="9" t="s">
        <v>6</v>
      </c>
      <c r="D2625" s="12" t="s">
        <v>3519</v>
      </c>
    </row>
    <row r="2626">
      <c r="A2626" s="5">
        <f>HYPERLINK("https://www.oit.va.gov/Services/TRM/ToolPage.aspx?tid=11720^","PECmd")</f>
      </c>
      <c r="B2626" s="4" t="s">
        <v>2656</v>
      </c>
      <c r="C2626" s="9" t="s">
        <v>6</v>
      </c>
      <c r="D2626" s="12" t="s">
        <v>1386</v>
      </c>
    </row>
    <row r="2627">
      <c r="A2627" s="5">
        <f>HYPERLINK("https://www.oit.va.gov/Services/TRM/ToolPage.aspx?tid=7199^","Pega Government Platform")</f>
      </c>
      <c r="B2627" s="4" t="s">
        <v>1349</v>
      </c>
      <c r="C2627" s="9" t="s">
        <v>6</v>
      </c>
      <c r="D2627" s="12" t="s">
        <v>99</v>
      </c>
    </row>
    <row r="2628">
      <c r="A2628" s="5">
        <f>HYPERLINK("https://www.oit.va.gov/Services/TRM/ToolPage.aspx?tid=15926^","Pelco VideoXpert")</f>
      </c>
      <c r="B2628" s="4" t="s">
        <v>3520</v>
      </c>
      <c r="C2628" s="9" t="s">
        <v>6</v>
      </c>
      <c r="D2628" s="12" t="s">
        <v>2242</v>
      </c>
    </row>
    <row r="2629">
      <c r="A2629" s="5">
        <f>HYPERLINK("https://www.oit.va.gov/Services/TRM/ToolPage.aspx?tid=8734^","PERRLA")</f>
      </c>
      <c r="B2629" s="4" t="s">
        <v>3521</v>
      </c>
      <c r="C2629" s="9" t="s">
        <v>6</v>
      </c>
      <c r="D2629" s="12" t="s">
        <v>3522</v>
      </c>
    </row>
    <row r="2630">
      <c r="A2630" s="5">
        <f>HYPERLINK("https://www.oit.va.gov/Services/TRM/ToolPage.aspx?tid=16774^","Persona Campus Online")</f>
      </c>
      <c r="B2630" s="4" t="s">
        <v>2852</v>
      </c>
      <c r="C2630" s="9" t="s">
        <v>6</v>
      </c>
      <c r="D2630" s="12" t="s">
        <v>3523</v>
      </c>
    </row>
    <row r="2631">
      <c r="A2631" s="5">
        <f>HYPERLINK("https://www.oit.va.gov/Services/TRM/ToolPage.aspx?tid=10325^","Personal Computer (PC) Meter Connect")</f>
      </c>
      <c r="B2631" s="4" t="s">
        <v>1366</v>
      </c>
      <c r="C2631" s="9" t="s">
        <v>6</v>
      </c>
      <c r="D2631" s="12" t="s">
        <v>3524</v>
      </c>
    </row>
    <row r="2632">
      <c r="A2632" s="5">
        <f>HYPERLINK("https://www.oit.va.gov/Services/TRM/ToolPage.aspx?tid=5523^","Personal Home Page (PHP) Hypertext Preprocessor")</f>
      </c>
      <c r="B2632" s="4" t="s">
        <v>3525</v>
      </c>
      <c r="C2632" s="9" t="s">
        <v>6</v>
      </c>
      <c r="D2632" s="12" t="s">
        <v>1668</v>
      </c>
    </row>
    <row r="2633">
      <c r="A2633" s="5">
        <f>HYPERLINK("https://www.oit.va.gov/Services/TRM/ToolPage.aspx?tid=16594^","Persyst Mobile Service")</f>
      </c>
      <c r="B2633" s="4" t="s">
        <v>3526</v>
      </c>
      <c r="C2633" s="9" t="s">
        <v>6</v>
      </c>
      <c r="D2633" s="12" t="s">
        <v>3527</v>
      </c>
    </row>
    <row r="2634">
      <c r="A2634" s="5">
        <f>HYPERLINK("https://www.oit.va.gov/Services/TRM/ToolPage.aspx?tid=15163^","Pevco Atlas")</f>
      </c>
      <c r="B2634" s="4" t="s">
        <v>3528</v>
      </c>
      <c r="C2634" s="9" t="s">
        <v>6</v>
      </c>
      <c r="D2634" s="12" t="s">
        <v>3529</v>
      </c>
    </row>
    <row r="2635">
      <c r="A2635" s="5">
        <f>HYPERLINK("https://www.oit.va.gov/Services/TRM/ToolPage.aspx?tid=6101^","PGP Encryption Desktop")</f>
      </c>
      <c r="B2635" s="4" t="s">
        <v>347</v>
      </c>
      <c r="C2635" s="9" t="s">
        <v>6</v>
      </c>
      <c r="D2635" s="12" t="s">
        <v>3530</v>
      </c>
    </row>
    <row r="2636">
      <c r="A2636" s="5">
        <f>HYPERLINK("https://www.oit.va.gov/Services/TRM/ToolPage.aspx?tid=15074^","Pharmguard Toolbox 2")</f>
      </c>
      <c r="B2636" s="4" t="s">
        <v>1357</v>
      </c>
      <c r="C2636" s="9" t="s">
        <v>6</v>
      </c>
      <c r="D2636" s="12" t="s">
        <v>1365</v>
      </c>
    </row>
    <row r="2637">
      <c r="A2637" s="5">
        <f>HYPERLINK("https://www.oit.va.gov/Services/TRM/ToolPage.aspx?tid=16573^","Philips QLAB")</f>
      </c>
      <c r="B2637" s="4" t="s">
        <v>919</v>
      </c>
      <c r="C2637" s="9" t="s">
        <v>6</v>
      </c>
      <c r="D2637" s="12" t="s">
        <v>3531</v>
      </c>
    </row>
    <row r="2638">
      <c r="A2638" s="5">
        <f>HYPERLINK("https://www.oit.va.gov/Services/TRM/ToolPage.aspx?tid=9705^","Philips Vue PACS")</f>
      </c>
      <c r="B2638" s="4" t="s">
        <v>919</v>
      </c>
      <c r="C2638" s="9" t="s">
        <v>6</v>
      </c>
      <c r="D2638" s="12" t="s">
        <v>761</v>
      </c>
    </row>
    <row r="2639">
      <c r="A2639" s="5">
        <f>HYPERLINK("https://www.oit.va.gov/Services/TRM/ToolPage.aspx?tid=14208^","PhotoDirector 365")</f>
      </c>
      <c r="B2639" s="4" t="s">
        <v>659</v>
      </c>
      <c r="C2639" s="9" t="s">
        <v>6</v>
      </c>
      <c r="D2639" s="12" t="s">
        <v>2420</v>
      </c>
    </row>
    <row r="2640">
      <c r="A2640" s="5">
        <f>HYPERLINK("https://www.oit.va.gov/Services/TRM/ToolPage.aspx?tid=16660^","PhotoPad")</f>
      </c>
      <c r="B2640" s="4" t="s">
        <v>3532</v>
      </c>
      <c r="C2640" s="9" t="s">
        <v>6</v>
      </c>
      <c r="D2640" s="12" t="s">
        <v>3533</v>
      </c>
    </row>
    <row r="2641">
      <c r="A2641" s="5">
        <f>HYPERLINK("https://www.oit.va.gov/Services/TRM/ToolPage.aspx?tid=16342^","PhpStorm")</f>
      </c>
      <c r="B2641" s="4" t="s">
        <v>671</v>
      </c>
      <c r="C2641" s="9" t="s">
        <v>6</v>
      </c>
      <c r="D2641" s="12" t="s">
        <v>3534</v>
      </c>
    </row>
    <row r="2642">
      <c r="A2642" s="5">
        <f>HYPERLINK("https://www.oit.va.gov/Services/TRM/ToolPage.aspx?tid=10134^","Phrase Express")</f>
      </c>
      <c r="B2642" s="4" t="s">
        <v>3535</v>
      </c>
      <c r="C2642" s="9" t="s">
        <v>6</v>
      </c>
      <c r="D2642" s="12" t="s">
        <v>3536</v>
      </c>
    </row>
    <row r="2643">
      <c r="A2643" s="5">
        <f>HYPERLINK("https://www.oit.va.gov/Services/TRM/ToolPage.aspx?tid=15460^","Picis OR Manager")</f>
      </c>
      <c r="B2643" s="4" t="s">
        <v>1360</v>
      </c>
      <c r="C2643" s="9" t="s">
        <v>6</v>
      </c>
      <c r="D2643" s="12" t="s">
        <v>1575</v>
      </c>
    </row>
    <row r="2644">
      <c r="A2644" s="5">
        <f>HYPERLINK("https://www.oit.va.gov/Services/TRM/ToolPage.aspx?tid=15465^","Picture Archiving And Communication System gear (PACSgear)")</f>
      </c>
      <c r="B2644" s="4" t="s">
        <v>746</v>
      </c>
      <c r="C2644" s="9" t="s">
        <v>6</v>
      </c>
      <c r="D2644" s="12" t="s">
        <v>1344</v>
      </c>
    </row>
    <row r="2645">
      <c r="A2645" s="5">
        <f>HYPERLINK("https://www.oit.va.gov/Services/TRM/ToolPage.aspx?tid=15646^","PingID Desktop App")</f>
      </c>
      <c r="B2645" s="4" t="s">
        <v>1383</v>
      </c>
      <c r="C2645" s="9" t="s">
        <v>6</v>
      </c>
      <c r="D2645" s="12" t="s">
        <v>3537</v>
      </c>
    </row>
    <row r="2646">
      <c r="A2646" s="5">
        <f>HYPERLINK("https://www.oit.va.gov/Services/TRM/ToolPage.aspx?tid=15148^","Pinnacle Access Control Platform")</f>
      </c>
      <c r="B2646" s="4" t="s">
        <v>3538</v>
      </c>
      <c r="C2646" s="9" t="s">
        <v>6</v>
      </c>
      <c r="D2646" s="12" t="s">
        <v>1323</v>
      </c>
    </row>
    <row r="2647">
      <c r="A2647" s="5">
        <f>HYPERLINK("https://www.oit.va.gov/Services/TRM/ToolPage.aspx?tid=10847^","PIPE-FLO Professional")</f>
      </c>
      <c r="B2647" s="4" t="s">
        <v>3539</v>
      </c>
      <c r="C2647" s="9" t="s">
        <v>6</v>
      </c>
      <c r="D2647" s="12" t="s">
        <v>3540</v>
      </c>
    </row>
    <row r="2648">
      <c r="A2648" s="5">
        <f>HYPERLINK("https://www.oit.va.gov/Services/TRM/ToolPage.aspx?tid=16432^","PIPSpro")</f>
      </c>
      <c r="B2648" s="4" t="s">
        <v>3541</v>
      </c>
      <c r="C2648" s="9" t="s">
        <v>6</v>
      </c>
      <c r="D2648" s="12" t="s">
        <v>3542</v>
      </c>
    </row>
    <row r="2649">
      <c r="A2649" s="5">
        <f>HYPERLINK("https://www.oit.va.gov/Services/TRM/ToolPage.aspx?tid=14244^","Planning.decimal (p.d)")</f>
      </c>
      <c r="B2649" s="4" t="s">
        <v>3543</v>
      </c>
      <c r="C2649" s="9" t="s">
        <v>6</v>
      </c>
      <c r="D2649" s="12" t="s">
        <v>3544</v>
      </c>
    </row>
    <row r="2650">
      <c r="A2650" s="5">
        <f>HYPERLINK("https://www.oit.va.gov/Services/TRM/ToolPage.aspx?tid=15642^","Planview Viz")</f>
      </c>
      <c r="B2650" s="4" t="s">
        <v>3545</v>
      </c>
      <c r="C2650" s="9" t="s">
        <v>6</v>
      </c>
      <c r="D2650" s="12" t="s">
        <v>3546</v>
      </c>
    </row>
    <row r="2651">
      <c r="A2651" s="5">
        <f>HYPERLINK("https://www.oit.va.gov/Services/TRM/ToolPage.aspx?tid=16732^","Plover")</f>
      </c>
      <c r="B2651" s="4" t="s">
        <v>3547</v>
      </c>
      <c r="C2651" s="9" t="s">
        <v>6</v>
      </c>
      <c r="D2651" s="12" t="s">
        <v>92</v>
      </c>
    </row>
    <row r="2652">
      <c r="A2652" s="5">
        <f>HYPERLINK("https://www.oit.va.gov/Services/TRM/ToolPage.aspx?tid=16008^","Poly Lens Desktop App")</f>
      </c>
      <c r="B2652" s="4" t="s">
        <v>3548</v>
      </c>
      <c r="C2652" s="9" t="s">
        <v>6</v>
      </c>
      <c r="D2652" s="12" t="s">
        <v>3549</v>
      </c>
    </row>
    <row r="2653">
      <c r="A2653" s="5">
        <f>HYPERLINK("https://www.oit.va.gov/Services/TRM/ToolPage.aspx?tid=6722^","PolyAnalyst")</f>
      </c>
      <c r="B2653" s="4" t="s">
        <v>3550</v>
      </c>
      <c r="C2653" s="9" t="s">
        <v>6</v>
      </c>
      <c r="D2653" s="12" t="s">
        <v>3551</v>
      </c>
    </row>
    <row r="2654">
      <c r="A2654" s="5">
        <f>HYPERLINK("https://www.oit.va.gov/Services/TRM/ToolPage.aspx?tid=16376^","Portable Document Format Split and Merge (PDFsam) Enhanced")</f>
      </c>
      <c r="B2654" s="4" t="s">
        <v>3552</v>
      </c>
      <c r="C2654" s="9" t="s">
        <v>6</v>
      </c>
      <c r="D2654" s="12" t="s">
        <v>3553</v>
      </c>
    </row>
    <row r="2655">
      <c r="A2655" s="5">
        <f>HYPERLINK("https://www.oit.va.gov/Services/TRM/ToolPage.aspx?tid=9274^","Portfolio")</f>
      </c>
      <c r="B2655" s="4" t="s">
        <v>3554</v>
      </c>
      <c r="C2655" s="9" t="s">
        <v>6</v>
      </c>
      <c r="D2655" s="12" t="s">
        <v>3555</v>
      </c>
    </row>
    <row r="2656">
      <c r="A2656" s="5">
        <f>HYPERLINK("https://www.oit.va.gov/Services/TRM/ToolPage.aspx?tid=16130^","Power BI (Business Intelligence) Connector")</f>
      </c>
      <c r="B2656" s="4" t="s">
        <v>3556</v>
      </c>
      <c r="C2656" s="9" t="s">
        <v>6</v>
      </c>
      <c r="D2656" s="12" t="s">
        <v>414</v>
      </c>
    </row>
    <row r="2657">
      <c r="A2657" s="5">
        <f>HYPERLINK("https://www.oit.va.gov/Services/TRM/ToolPage.aspx?tid=16445^","Power BI (Business Intelligence) Model Documenter")</f>
      </c>
      <c r="B2657" s="4" t="s">
        <v>3557</v>
      </c>
      <c r="C2657" s="9" t="s">
        <v>6</v>
      </c>
      <c r="D2657" s="12" t="s">
        <v>3558</v>
      </c>
    </row>
    <row r="2658">
      <c r="A2658" s="5">
        <f>HYPERLINK("https://www.oit.va.gov/Services/TRM/ToolPage.aspx?tid=16571^","Power BI Explorer")</f>
      </c>
      <c r="B2658" s="4" t="s">
        <v>3559</v>
      </c>
      <c r="C2658" s="9" t="s">
        <v>6</v>
      </c>
      <c r="D2658" s="12" t="s">
        <v>3560</v>
      </c>
    </row>
    <row r="2659">
      <c r="A2659" s="5">
        <f>HYPERLINK("https://www.oit.va.gov/Services/TRM/ToolPage.aspx?tid=15836^","Power Film Application Software")</f>
      </c>
      <c r="B2659" s="4" t="s">
        <v>3561</v>
      </c>
      <c r="C2659" s="9" t="s">
        <v>6</v>
      </c>
      <c r="D2659" s="12" t="s">
        <v>3562</v>
      </c>
    </row>
    <row r="2660">
      <c r="A2660" s="5">
        <f>HYPERLINK("https://www.oit.va.gov/Services/TRM/ToolPage.aspx?tid=10401^","Power Manager")</f>
      </c>
      <c r="B2660" s="4" t="s">
        <v>1229</v>
      </c>
      <c r="C2660" s="9" t="s">
        <v>6</v>
      </c>
      <c r="D2660" s="12" t="s">
        <v>3563</v>
      </c>
    </row>
    <row r="2661">
      <c r="A2661" s="5">
        <f>HYPERLINK("https://www.oit.va.gov/Services/TRM/ToolPage.aspx?tid=6688^","Power Transmission Control Protocol (TCP) Sockets for .NET")</f>
      </c>
      <c r="B2661" s="4" t="s">
        <v>3564</v>
      </c>
      <c r="C2661" s="9" t="s">
        <v>6</v>
      </c>
      <c r="D2661" s="12" t="s">
        <v>1428</v>
      </c>
    </row>
    <row r="2662">
      <c r="A2662" s="5">
        <f>HYPERLINK("https://www.oit.va.gov/Services/TRM/ToolPage.aspx?tid=15626^","PowerAlert Element Manager (PAEM)")</f>
      </c>
      <c r="B2662" s="4" t="s">
        <v>3565</v>
      </c>
      <c r="C2662" s="9" t="s">
        <v>6</v>
      </c>
      <c r="D2662" s="12" t="s">
        <v>3566</v>
      </c>
    </row>
    <row r="2663">
      <c r="A2663" s="5">
        <f>HYPERLINK("https://www.oit.va.gov/Services/TRM/ToolPage.aspx?tid=5693^","PowerChute Serial Shutdown")</f>
      </c>
      <c r="B2663" s="4" t="s">
        <v>3567</v>
      </c>
      <c r="C2663" s="9" t="s">
        <v>6</v>
      </c>
      <c r="D2663" s="12" t="s">
        <v>3568</v>
      </c>
    </row>
    <row r="2664">
      <c r="A2664" s="5">
        <f>HYPERLINK("https://www.oit.va.gov/Services/TRM/ToolPage.aspx?tid=15878^","PowerDirector 365")</f>
      </c>
      <c r="B2664" s="4" t="s">
        <v>659</v>
      </c>
      <c r="C2664" s="9" t="s">
        <v>6</v>
      </c>
      <c r="D2664" s="12" t="s">
        <v>3569</v>
      </c>
    </row>
    <row r="2665">
      <c r="A2665" s="5">
        <f>HYPERLINK("https://www.oit.va.gov/Services/TRM/ToolPage.aspx?tid=14078^","PowerPanel Business")</f>
      </c>
      <c r="B2665" s="4" t="s">
        <v>3570</v>
      </c>
      <c r="C2665" s="9" t="s">
        <v>6</v>
      </c>
      <c r="D2665" s="12" t="s">
        <v>3571</v>
      </c>
    </row>
    <row r="2666">
      <c r="A2666" s="5">
        <f>HYPERLINK("https://www.oit.va.gov/Services/TRM/ToolPage.aspx?tid=16670^","PowerScribe One")</f>
      </c>
      <c r="B2666" s="4" t="s">
        <v>342</v>
      </c>
      <c r="C2666" s="9" t="s">
        <v>6</v>
      </c>
      <c r="D2666" s="12" t="s">
        <v>3572</v>
      </c>
    </row>
    <row r="2667">
      <c r="A2667" s="5">
        <f>HYPERLINK("https://www.oit.va.gov/Services/TRM/ToolPage.aspx?tid=7200^","PowerShell Studio")</f>
      </c>
      <c r="B2667" s="4" t="s">
        <v>2419</v>
      </c>
      <c r="C2667" s="9" t="s">
        <v>6</v>
      </c>
      <c r="D2667" s="12" t="s">
        <v>3573</v>
      </c>
    </row>
    <row r="2668">
      <c r="A2668" s="5">
        <f>HYPERLINK("https://www.oit.va.gov/Services/TRM/ToolPage.aspx?tid=15457^","Precession")</f>
      </c>
      <c r="B2668" s="4" t="s">
        <v>3574</v>
      </c>
      <c r="C2668" s="9" t="s">
        <v>6</v>
      </c>
      <c r="D2668" s="12" t="s">
        <v>1410</v>
      </c>
    </row>
    <row r="2669">
      <c r="A2669" s="5">
        <f>HYPERLINK("https://www.oit.va.gov/Services/TRM/ToolPage.aspx?tid=16188^","PREFcards")</f>
      </c>
      <c r="B2669" s="4" t="s">
        <v>294</v>
      </c>
      <c r="C2669" s="9" t="s">
        <v>6</v>
      </c>
      <c r="D2669" s="12" t="s">
        <v>2105</v>
      </c>
    </row>
    <row r="2670">
      <c r="A2670" s="5">
        <f>HYPERLINK("https://www.oit.va.gov/Services/TRM/ToolPage.aspx?tid=11091^","Preview Treatment Planning Software")</f>
      </c>
      <c r="B2670" s="4" t="s">
        <v>3575</v>
      </c>
      <c r="C2670" s="9" t="s">
        <v>6</v>
      </c>
      <c r="D2670" s="12" t="s">
        <v>1297</v>
      </c>
    </row>
    <row r="2671">
      <c r="A2671" s="5">
        <f>HYPERLINK("https://www.oit.va.gov/Services/TRM/ToolPage.aspx?tid=14789^","PrinterLogic")</f>
      </c>
      <c r="B2671" s="4" t="s">
        <v>3576</v>
      </c>
      <c r="C2671" s="9" t="s">
        <v>6</v>
      </c>
      <c r="D2671" s="12" t="s">
        <v>3577</v>
      </c>
    </row>
    <row r="2672">
      <c r="A2672" s="5">
        <f>HYPERLINK("https://www.oit.va.gov/Services/TRM/ToolPage.aspx?tid=15827^","PrizmDoc Viewer")</f>
      </c>
      <c r="B2672" s="4" t="s">
        <v>3200</v>
      </c>
      <c r="C2672" s="9" t="s">
        <v>6</v>
      </c>
      <c r="D2672" s="12" t="s">
        <v>3578</v>
      </c>
    </row>
    <row r="2673">
      <c r="A2673" s="5">
        <f>HYPERLINK("https://www.oit.va.gov/Services/TRM/ToolPage.aspx?tid=8389^","Proactive Outreach Manager (POM)")</f>
      </c>
      <c r="B2673" s="4" t="s">
        <v>1803</v>
      </c>
      <c r="C2673" s="9" t="s">
        <v>6</v>
      </c>
      <c r="D2673" s="12" t="s">
        <v>3365</v>
      </c>
    </row>
    <row r="2674">
      <c r="A2674" s="5">
        <f>HYPERLINK("https://www.oit.va.gov/Services/TRM/ToolPage.aspx?tid=15709^","Process Improvement Visuals Pack")</f>
      </c>
      <c r="B2674" s="4" t="s">
        <v>3579</v>
      </c>
      <c r="C2674" s="9" t="s">
        <v>6</v>
      </c>
      <c r="D2674" s="12" t="s">
        <v>3580</v>
      </c>
    </row>
    <row r="2675">
      <c r="A2675" s="5">
        <f>HYPERLINK("https://www.oit.va.gov/Services/TRM/ToolPage.aspx?tid=16870^","Procore Extract")</f>
      </c>
      <c r="B2675" s="4" t="s">
        <v>3581</v>
      </c>
      <c r="C2675" s="9" t="s">
        <v>6</v>
      </c>
      <c r="D2675" s="12" t="s">
        <v>3191</v>
      </c>
    </row>
    <row r="2676">
      <c r="A2676" s="5">
        <f>HYPERLINK("https://www.oit.va.gov/Services/TRM/ToolPage.aspx?tid=10564^","Proficio")</f>
      </c>
      <c r="B2676" s="4" t="s">
        <v>3582</v>
      </c>
      <c r="C2676" s="9" t="s">
        <v>6</v>
      </c>
      <c r="D2676" s="12" t="s">
        <v>3583</v>
      </c>
    </row>
    <row r="2677">
      <c r="A2677" s="5">
        <f>HYPERLINK("https://www.oit.va.gov/Services/TRM/ToolPage.aspx?tid=14623^","Programmable System on Chip (PSoC) Creator")</f>
      </c>
      <c r="B2677" s="4" t="s">
        <v>3584</v>
      </c>
      <c r="C2677" s="9" t="s">
        <v>6</v>
      </c>
      <c r="D2677" s="12" t="s">
        <v>3585</v>
      </c>
    </row>
    <row r="2678">
      <c r="A2678" s="5">
        <f>HYPERLINK("https://www.oit.va.gov/Services/TRM/ToolPage.aspx?tid=15841^","Provar Chrome Tooling")</f>
      </c>
      <c r="B2678" s="4" t="s">
        <v>3586</v>
      </c>
      <c r="C2678" s="9" t="s">
        <v>6</v>
      </c>
      <c r="D2678" s="12" t="s">
        <v>1681</v>
      </c>
    </row>
    <row r="2679">
      <c r="A2679" s="5">
        <f>HYPERLINK("https://www.oit.va.gov/Services/TRM/ToolPage.aspx?tid=6112^","ProVation Doctor of Medicine (MD)")</f>
      </c>
      <c r="B2679" s="4" t="s">
        <v>1398</v>
      </c>
      <c r="C2679" s="9" t="s">
        <v>6</v>
      </c>
      <c r="D2679" s="12" t="s">
        <v>249</v>
      </c>
    </row>
    <row r="2680">
      <c r="A2680" s="5">
        <f>HYPERLINK("https://www.oit.va.gov/Services/TRM/ToolPage.aspx?tid=7418^","Pro-Watch Integrated Security Suite")</f>
      </c>
      <c r="B2680" s="4" t="s">
        <v>2496</v>
      </c>
      <c r="C2680" s="9" t="s">
        <v>6</v>
      </c>
      <c r="D2680" s="12" t="s">
        <v>3587</v>
      </c>
    </row>
    <row r="2681">
      <c r="A2681" s="5">
        <f>HYPERLINK("https://www.oit.va.gov/Services/TRM/ToolPage.aspx?tid=16046^","PsyCalc")</f>
      </c>
      <c r="B2681" s="4" t="s">
        <v>3588</v>
      </c>
      <c r="C2681" s="9" t="s">
        <v>6</v>
      </c>
      <c r="D2681" s="12" t="s">
        <v>3589</v>
      </c>
    </row>
    <row r="2682">
      <c r="A2682" s="5">
        <f>HYPERLINK("https://www.oit.va.gov/Services/TRM/ToolPage.aspx?tid=16450^","Pushy Enterprise")</f>
      </c>
      <c r="B2682" s="4" t="s">
        <v>1089</v>
      </c>
      <c r="C2682" s="9" t="s">
        <v>6</v>
      </c>
      <c r="D2682" s="12" t="s">
        <v>1890</v>
      </c>
    </row>
    <row r="2683">
      <c r="A2683" s="5">
        <f>HYPERLINK("https://www.oit.va.gov/Services/TRM/ToolPage.aspx?tid=10352^","Pyramid Analytics")</f>
      </c>
      <c r="B2683" s="4" t="s">
        <v>3590</v>
      </c>
      <c r="C2683" s="9" t="s">
        <v>6</v>
      </c>
      <c r="D2683" s="12" t="s">
        <v>3591</v>
      </c>
    </row>
    <row r="2684">
      <c r="A2684" s="5">
        <f>HYPERLINK("https://www.oit.va.gov/Services/TRM/ToolPage.aspx?tid=14220^","Pyramid TimeTrax Sync")</f>
      </c>
      <c r="B2684" s="4" t="s">
        <v>3592</v>
      </c>
      <c r="C2684" s="9" t="s">
        <v>6</v>
      </c>
      <c r="D2684" s="12" t="s">
        <v>2375</v>
      </c>
    </row>
    <row r="2685">
      <c r="A2685" s="5">
        <f>HYPERLINK("https://www.oit.va.gov/Services/TRM/ToolPage.aspx?tid=11599^","Q-Flow")</f>
      </c>
      <c r="B2685" s="4" t="s">
        <v>3593</v>
      </c>
      <c r="C2685" s="9" t="s">
        <v>6</v>
      </c>
      <c r="D2685" s="12" t="s">
        <v>3594</v>
      </c>
    </row>
    <row r="2686">
      <c r="A2686" s="5">
        <f>HYPERLINK("https://www.oit.va.gov/Services/TRM/ToolPage.aspx?tid=15359^","Qlik Replicate")</f>
      </c>
      <c r="B2686" s="4" t="s">
        <v>3595</v>
      </c>
      <c r="C2686" s="9" t="s">
        <v>6</v>
      </c>
      <c r="D2686" s="12" t="s">
        <v>3596</v>
      </c>
    </row>
    <row r="2687">
      <c r="A2687" s="5">
        <f>HYPERLINK("https://www.oit.va.gov/Services/TRM/ToolPage.aspx?tid=14871^","Q-Pulse Quality Management Software (QMS)")</f>
      </c>
      <c r="B2687" s="4" t="s">
        <v>3597</v>
      </c>
      <c r="C2687" s="9" t="s">
        <v>6</v>
      </c>
      <c r="D2687" s="12" t="s">
        <v>3598</v>
      </c>
    </row>
    <row r="2688">
      <c r="A2688" s="5">
        <f>HYPERLINK("https://www.oit.va.gov/Services/TRM/ToolPage.aspx?tid=16403^","Q-SYS Designer Software")</f>
      </c>
      <c r="B2688" s="4" t="s">
        <v>3599</v>
      </c>
      <c r="C2688" s="9" t="s">
        <v>6</v>
      </c>
      <c r="D2688" s="12" t="s">
        <v>3600</v>
      </c>
    </row>
    <row r="2689">
      <c r="A2689" s="5">
        <f>HYPERLINK("https://www.oit.va.gov/Services/TRM/ToolPage.aspx?tid=11724^","Quadient Impress")</f>
      </c>
      <c r="B2689" s="4" t="s">
        <v>3035</v>
      </c>
      <c r="C2689" s="9" t="s">
        <v>6</v>
      </c>
      <c r="D2689" s="12" t="s">
        <v>3601</v>
      </c>
    </row>
    <row r="2690">
      <c r="A2690" s="5">
        <f>HYPERLINK("https://www.oit.va.gov/Services/TRM/ToolPage.aspx?tid=15323^","QualityMetric PRO CoRE")</f>
      </c>
      <c r="B2690" s="4" t="s">
        <v>3602</v>
      </c>
      <c r="C2690" s="9" t="s">
        <v>6</v>
      </c>
      <c r="D2690" s="12" t="s">
        <v>3109</v>
      </c>
    </row>
    <row r="2691">
      <c r="A2691" s="5">
        <f>HYPERLINK("https://www.oit.va.gov/Services/TRM/ToolPage.aspx?tid=7743^","Quantum Geographic Information System (QGIS)")</f>
      </c>
      <c r="B2691" s="4" t="s">
        <v>3603</v>
      </c>
      <c r="C2691" s="9" t="s">
        <v>6</v>
      </c>
      <c r="D2691" s="12" t="s">
        <v>2608</v>
      </c>
    </row>
    <row r="2692">
      <c r="A2692" s="5">
        <f>HYPERLINK("https://www.oit.va.gov/Services/TRM/ToolPage.aspx?tid=16587^","Quantum GX Viewer Pack")</f>
      </c>
      <c r="B2692" s="4" t="s">
        <v>3604</v>
      </c>
      <c r="C2692" s="9" t="s">
        <v>6</v>
      </c>
      <c r="D2692" s="12" t="s">
        <v>3605</v>
      </c>
    </row>
    <row r="2693">
      <c r="A2693" s="5">
        <f>HYPERLINK("https://www.oit.va.gov/Services/TRM/ToolPage.aspx?tid=14929^","Quantum Plus Software")</f>
      </c>
      <c r="B2693" s="4" t="s">
        <v>3606</v>
      </c>
      <c r="C2693" s="9" t="s">
        <v>6</v>
      </c>
      <c r="D2693" s="12" t="s">
        <v>3607</v>
      </c>
    </row>
    <row r="2694">
      <c r="A2694" s="5">
        <f>HYPERLINK("https://www.oit.va.gov/Services/TRM/ToolPage.aspx?tid=10792^","Quantum Vue")</f>
      </c>
      <c r="B2694" s="4" t="s">
        <v>3608</v>
      </c>
      <c r="C2694" s="9" t="s">
        <v>6</v>
      </c>
      <c r="D2694" s="12" t="s">
        <v>3609</v>
      </c>
    </row>
    <row r="2695">
      <c r="A2695" s="5">
        <f>HYPERLINK("https://www.oit.va.gov/Services/TRM/ToolPage.aspx?tid=8706^","Quantum XL")</f>
      </c>
      <c r="B2695" s="4" t="s">
        <v>433</v>
      </c>
      <c r="C2695" s="9" t="s">
        <v>6</v>
      </c>
      <c r="D2695" s="12" t="s">
        <v>3610</v>
      </c>
    </row>
    <row r="2696">
      <c r="A2696" s="5">
        <f>HYPERLINK("https://www.oit.va.gov/Services/TRM/ToolPage.aspx?tid=15840^","Quest Enterprise Reporter")</f>
      </c>
      <c r="B2696" s="4" t="s">
        <v>357</v>
      </c>
      <c r="C2696" s="9" t="s">
        <v>6</v>
      </c>
      <c r="D2696" s="12" t="s">
        <v>93</v>
      </c>
    </row>
    <row r="2697">
      <c r="A2697" s="5">
        <f>HYPERLINK("https://www.oit.va.gov/Services/TRM/ToolPage.aspx?tid=15788^","Quest Recovery Manager for Active Directory")</f>
      </c>
      <c r="B2697" s="4" t="s">
        <v>357</v>
      </c>
      <c r="C2697" s="9" t="s">
        <v>6</v>
      </c>
      <c r="D2697" s="12" t="s">
        <v>3611</v>
      </c>
    </row>
    <row r="2698">
      <c r="A2698" s="5">
        <f>HYPERLINK("https://www.oit.va.gov/Services/TRM/ToolPage.aspx?tid=14347^","Quest Toad Data Modeler")</f>
      </c>
      <c r="B2698" s="4" t="s">
        <v>357</v>
      </c>
      <c r="C2698" s="9" t="s">
        <v>6</v>
      </c>
      <c r="D2698" s="12" t="s">
        <v>516</v>
      </c>
    </row>
    <row r="2699">
      <c r="A2699" s="5">
        <f>HYPERLINK("https://www.oit.va.gov/Services/TRM/ToolPage.aspx?tid=14245^","QuickPrint for ScanPoint Image Management Technology")</f>
      </c>
      <c r="B2699" s="4" t="s">
        <v>3612</v>
      </c>
      <c r="C2699" s="9" t="s">
        <v>6</v>
      </c>
      <c r="D2699" s="12" t="s">
        <v>249</v>
      </c>
    </row>
    <row r="2700">
      <c r="A2700" s="5">
        <f>HYPERLINK("https://www.oit.va.gov/Services/TRM/ToolPage.aspx?tid=15165^","QuickScan Touch Plus")</f>
      </c>
      <c r="B2700" s="4" t="s">
        <v>3613</v>
      </c>
      <c r="C2700" s="9" t="s">
        <v>6</v>
      </c>
      <c r="D2700" s="12" t="s">
        <v>416</v>
      </c>
    </row>
    <row r="2701">
      <c r="A2701" s="5">
        <f>HYPERLINK("https://www.oit.va.gov/Services/TRM/ToolPage.aspx?tid=16281^","QUICKSURFACE for SOLIDWORKS")</f>
      </c>
      <c r="B2701" s="4" t="s">
        <v>3614</v>
      </c>
      <c r="C2701" s="9" t="s">
        <v>6</v>
      </c>
      <c r="D2701" s="12" t="s">
        <v>2629</v>
      </c>
    </row>
    <row r="2702">
      <c r="A2702" s="5">
        <f>HYPERLINK("https://www.oit.va.gov/Services/TRM/ToolPage.aspx?tid=15671^","RadFormation AutoContour")</f>
      </c>
      <c r="B2702" s="4" t="s">
        <v>3615</v>
      </c>
      <c r="C2702" s="9" t="s">
        <v>6</v>
      </c>
      <c r="D2702" s="12" t="s">
        <v>3616</v>
      </c>
    </row>
    <row r="2703">
      <c r="A2703" s="5">
        <f>HYPERLINK("https://www.oit.va.gov/Services/TRM/ToolPage.aspx?tid=14670^","Rancher")</f>
      </c>
      <c r="B2703" s="4" t="s">
        <v>3617</v>
      </c>
      <c r="C2703" s="9" t="s">
        <v>6</v>
      </c>
      <c r="D2703" s="12" t="s">
        <v>2962</v>
      </c>
    </row>
    <row r="2704">
      <c r="A2704" s="5">
        <f>HYPERLINK("https://www.oit.va.gov/Services/TRM/ToolPage.aspx?tid=14905^","Re-Act Broset Violence Checklist (BVC)")</f>
      </c>
      <c r="B2704" s="4" t="s">
        <v>3618</v>
      </c>
      <c r="C2704" s="9" t="s">
        <v>6</v>
      </c>
      <c r="D2704" s="12" t="s">
        <v>1378</v>
      </c>
    </row>
    <row r="2705">
      <c r="A2705" s="5">
        <f>HYPERLINK("https://www.oit.va.gov/Services/TRM/ToolPage.aspx?tid=14251^","React Developer Tools")</f>
      </c>
      <c r="B2705" s="4" t="s">
        <v>3619</v>
      </c>
      <c r="C2705" s="9" t="s">
        <v>6</v>
      </c>
      <c r="D2705" s="12" t="s">
        <v>3620</v>
      </c>
    </row>
    <row r="2706">
      <c r="A2706" s="5">
        <f>HYPERLINK("https://www.oit.va.gov/Services/TRM/ToolPage.aspx?tid=8942^","Reactive Extensions for JavaScript (RxJS)")</f>
      </c>
      <c r="B2706" s="4" t="s">
        <v>3621</v>
      </c>
      <c r="C2706" s="9" t="s">
        <v>6</v>
      </c>
      <c r="D2706" s="12" t="s">
        <v>3622</v>
      </c>
    </row>
    <row r="2707">
      <c r="A2707" s="5">
        <f>HYPERLINK("https://www.oit.va.gov/Services/TRM/ToolPage.aspx?tid=11683^","Real Time Quality Control (RTQC) DATA CONVERTER")</f>
      </c>
      <c r="B2707" s="4" t="s">
        <v>3623</v>
      </c>
      <c r="C2707" s="9" t="s">
        <v>6</v>
      </c>
      <c r="D2707" s="12" t="s">
        <v>3624</v>
      </c>
    </row>
    <row r="2708">
      <c r="A2708" s="5">
        <f>HYPERLINK("https://www.oit.va.gov/Services/TRM/ToolPage.aspx?tid=16475^","Red Hat 3scale Application Programming Interface (API) Management")</f>
      </c>
      <c r="B2708" s="4" t="s">
        <v>1167</v>
      </c>
      <c r="C2708" s="9" t="s">
        <v>6</v>
      </c>
      <c r="D2708" s="12" t="s">
        <v>948</v>
      </c>
    </row>
    <row r="2709">
      <c r="A2709" s="5">
        <f>HYPERLINK("https://www.oit.va.gov/Services/TRM/ToolPage.aspx?tid=15519^","Red Hat Directory Server")</f>
      </c>
      <c r="B2709" s="4" t="s">
        <v>1167</v>
      </c>
      <c r="C2709" s="9" t="s">
        <v>6</v>
      </c>
      <c r="D2709" s="12" t="s">
        <v>117</v>
      </c>
    </row>
    <row r="2710">
      <c r="A2710" s="5">
        <f>HYPERLINK("https://www.oit.va.gov/Services/TRM/ToolPage.aspx?tid=7339^","Red Hat Fuse")</f>
      </c>
      <c r="B2710" s="4" t="s">
        <v>1167</v>
      </c>
      <c r="C2710" s="9" t="s">
        <v>6</v>
      </c>
      <c r="D2710" s="12" t="s">
        <v>3625</v>
      </c>
    </row>
    <row r="2711">
      <c r="A2711" s="5">
        <f>HYPERLINK("https://www.oit.va.gov/Services/TRM/ToolPage.aspx?tid=16458^","Red Hat OpenShift Data Science (RHODS)")</f>
      </c>
      <c r="B2711" s="4" t="s">
        <v>1167</v>
      </c>
      <c r="C2711" s="9" t="s">
        <v>6</v>
      </c>
      <c r="D2711" s="12" t="s">
        <v>3626</v>
      </c>
    </row>
    <row r="2712">
      <c r="A2712" s="5">
        <f>HYPERLINK("https://www.oit.va.gov/Services/TRM/ToolPage.aspx?tid=7977^","Reflection X Advantage (RXA)")</f>
      </c>
      <c r="B2712" s="4" t="s">
        <v>1411</v>
      </c>
      <c r="C2712" s="9" t="s">
        <v>6</v>
      </c>
      <c r="D2712" s="12" t="s">
        <v>2196</v>
      </c>
    </row>
    <row r="2713">
      <c r="A2713" s="5">
        <f>HYPERLINK("https://www.oit.va.gov/Services/TRM/ToolPage.aspx?tid=9570^","Remark Office Optical Mark Recognition Software")</f>
      </c>
      <c r="B2713" s="4" t="s">
        <v>3627</v>
      </c>
      <c r="C2713" s="9" t="s">
        <v>6</v>
      </c>
      <c r="D2713" s="12" t="s">
        <v>3628</v>
      </c>
    </row>
    <row r="2714">
      <c r="A2714" s="5">
        <f>HYPERLINK("https://www.oit.va.gov/Services/TRM/ToolPage.aspx?tid=15494^","Remark Web Survey")</f>
      </c>
      <c r="B2714" s="4" t="s">
        <v>3629</v>
      </c>
      <c r="C2714" s="9" t="s">
        <v>6</v>
      </c>
      <c r="D2714" s="12" t="s">
        <v>3630</v>
      </c>
    </row>
    <row r="2715">
      <c r="A2715" s="5">
        <f>HYPERLINK("https://www.oit.va.gov/Services/TRM/ToolPage.aspx?tid=5710^","Remedy")</f>
      </c>
      <c r="B2715" s="4" t="s">
        <v>2764</v>
      </c>
      <c r="C2715" s="9" t="s">
        <v>6</v>
      </c>
      <c r="D2715" s="12" t="s">
        <v>3631</v>
      </c>
    </row>
    <row r="2716">
      <c r="A2716" s="5">
        <f>HYPERLINK("https://www.oit.va.gov/Services/TRM/ToolPage.aspx?tid=15935^","Reprise License Manager")</f>
      </c>
      <c r="B2716" s="4" t="s">
        <v>3632</v>
      </c>
      <c r="C2716" s="9" t="s">
        <v>6</v>
      </c>
      <c r="D2716" s="12" t="s">
        <v>3633</v>
      </c>
    </row>
    <row r="2717">
      <c r="A2717" s="5">
        <f>HYPERLINK("https://www.oit.va.gov/Services/TRM/ToolPage.aspx?tid=6453^","Research Electronic Data Capture (REDCap)")</f>
      </c>
      <c r="B2717" s="4" t="s">
        <v>3634</v>
      </c>
      <c r="C2717" s="9" t="s">
        <v>6</v>
      </c>
      <c r="D2717" s="12" t="s">
        <v>3635</v>
      </c>
    </row>
    <row r="2718">
      <c r="A2718" s="5">
        <f>HYPERLINK("https://www.oit.va.gov/Services/TRM/ToolPage.aspx?tid=15853^","Resmed Cloud Connect")</f>
      </c>
      <c r="B2718" s="4" t="s">
        <v>3636</v>
      </c>
      <c r="C2718" s="9" t="s">
        <v>6</v>
      </c>
      <c r="D2718" s="12" t="s">
        <v>3637</v>
      </c>
    </row>
    <row r="2719">
      <c r="A2719" s="5">
        <f>HYPERLINK("https://www.oit.va.gov/Services/TRM/ToolPage.aspx?tid=7505^","ResolutionMD")</f>
      </c>
      <c r="B2719" s="4" t="s">
        <v>3638</v>
      </c>
      <c r="C2719" s="9" t="s">
        <v>6</v>
      </c>
      <c r="D2719" s="12" t="s">
        <v>1966</v>
      </c>
    </row>
    <row r="2720">
      <c r="A2720" s="5">
        <f>HYPERLINK("https://www.oit.va.gov/Services/TRM/ToolPage.aspx?tid=16065^","Respondus LockDown Browser")</f>
      </c>
      <c r="B2720" s="4" t="s">
        <v>3639</v>
      </c>
      <c r="C2720" s="9" t="s">
        <v>6</v>
      </c>
      <c r="D2720" s="12" t="s">
        <v>3640</v>
      </c>
    </row>
    <row r="2721">
      <c r="A2721" s="5">
        <f>HYPERLINK("https://www.oit.va.gov/Services/TRM/ToolPage.aspx?tid=14319^","Revenue Operations (RO) Payer Compliance Tool")</f>
      </c>
      <c r="B2721" s="4" t="s">
        <v>3641</v>
      </c>
      <c r="C2721" s="9" t="s">
        <v>6</v>
      </c>
      <c r="D2721" s="12" t="s">
        <v>3642</v>
      </c>
    </row>
    <row r="2722">
      <c r="A2722" s="5">
        <f>HYPERLINK("https://www.oit.va.gov/Services/TRM/ToolPage.aspx?tid=14667^","RF Code Centerscape Radio Frequency Identification (RFID) Management Software")</f>
      </c>
      <c r="B2722" s="4" t="s">
        <v>3643</v>
      </c>
      <c r="C2722" s="9" t="s">
        <v>6</v>
      </c>
      <c r="D2722" s="12" t="s">
        <v>3644</v>
      </c>
    </row>
    <row r="2723">
      <c r="A2723" s="5">
        <f>HYPERLINK("https://www.oit.va.gov/Services/TRM/ToolPage.aspx?tid=14219^","RFTrack")</f>
      </c>
      <c r="B2723" s="4" t="s">
        <v>3645</v>
      </c>
      <c r="C2723" s="9" t="s">
        <v>6</v>
      </c>
      <c r="D2723" s="12" t="s">
        <v>3646</v>
      </c>
    </row>
    <row r="2724">
      <c r="A2724" s="5">
        <f>HYPERLINK("https://www.oit.va.gov/Services/TRM/ToolPage.aspx?tid=10329^","RGraph")</f>
      </c>
      <c r="B2724" s="4" t="s">
        <v>3647</v>
      </c>
      <c r="C2724" s="9" t="s">
        <v>6</v>
      </c>
      <c r="D2724" s="12" t="s">
        <v>3648</v>
      </c>
    </row>
    <row r="2725">
      <c r="A2725" s="5">
        <f>HYPERLINK("https://www.oit.va.gov/Services/TRM/ToolPage.aspx?tid=10513^","Rhapsody")</f>
      </c>
      <c r="B2725" s="4" t="s">
        <v>3649</v>
      </c>
      <c r="C2725" s="9" t="s">
        <v>6</v>
      </c>
      <c r="D2725" s="12" t="s">
        <v>3650</v>
      </c>
    </row>
    <row r="2726">
      <c r="A2726" s="5">
        <f>HYPERLINK("https://www.oit.va.gov/Services/TRM/ToolPage.aspx?tid=16468^","Rhino")</f>
      </c>
      <c r="B2726" s="4" t="s">
        <v>3651</v>
      </c>
      <c r="C2726" s="9" t="s">
        <v>6</v>
      </c>
      <c r="D2726" s="12" t="s">
        <v>3385</v>
      </c>
    </row>
    <row r="2727">
      <c r="A2727" s="5">
        <f>HYPERLINK("https://www.oit.va.gov/Services/TRM/ToolPage.aspx?tid=10255^","Ricoh ProcessDirector")</f>
      </c>
      <c r="B2727" s="4" t="s">
        <v>512</v>
      </c>
      <c r="C2727" s="9" t="s">
        <v>6</v>
      </c>
      <c r="D2727" s="12" t="s">
        <v>3652</v>
      </c>
    </row>
    <row r="2728">
      <c r="A2728" s="5">
        <f>HYPERLINK("https://www.oit.va.gov/Services/TRM/ToolPage.aspx?tid=16343^","Ricoh ProcessDirector Plug-In for Adobe Acrobat")</f>
      </c>
      <c r="B2728" s="4" t="s">
        <v>512</v>
      </c>
      <c r="C2728" s="9" t="s">
        <v>6</v>
      </c>
      <c r="D2728" s="12" t="s">
        <v>3653</v>
      </c>
    </row>
    <row r="2729">
      <c r="A2729" s="5">
        <f>HYPERLINK("https://www.oit.va.gov/Services/TRM/ToolPage.aspx?tid=12967^","RICOH Streamline NX")</f>
      </c>
      <c r="B2729" s="4" t="s">
        <v>512</v>
      </c>
      <c r="C2729" s="9" t="s">
        <v>6</v>
      </c>
      <c r="D2729" s="12" t="s">
        <v>1443</v>
      </c>
    </row>
    <row r="2730">
      <c r="A2730" s="5">
        <f>HYPERLINK("https://www.oit.va.gov/Services/TRM/ToolPage.aspx?tid=7253^","RightITnow Event Correlation Manager (ECM)")</f>
      </c>
      <c r="B2730" s="4" t="s">
        <v>3654</v>
      </c>
      <c r="C2730" s="9" t="s">
        <v>6</v>
      </c>
      <c r="D2730" s="12" t="s">
        <v>3655</v>
      </c>
    </row>
    <row r="2731">
      <c r="A2731" s="5">
        <f>HYPERLINK("https://www.oit.va.gov/Services/TRM/ToolPage.aspx?tid=16464^","RISVA")</f>
      </c>
      <c r="B2731" s="4" t="s">
        <v>3656</v>
      </c>
      <c r="C2731" s="9" t="s">
        <v>6</v>
      </c>
      <c r="D2731" s="12" t="s">
        <v>3657</v>
      </c>
    </row>
    <row r="2732">
      <c r="A2732" s="5">
        <f>HYPERLINK("https://www.oit.va.gov/Services/TRM/ToolPage.aspx?tid=13781^","Riverbed Modeler")</f>
      </c>
      <c r="B2732" s="4" t="s">
        <v>2265</v>
      </c>
      <c r="C2732" s="9" t="s">
        <v>6</v>
      </c>
      <c r="D2732" s="12" t="s">
        <v>3658</v>
      </c>
    </row>
    <row r="2733">
      <c r="A2733" s="5">
        <f>HYPERLINK("https://www.oit.va.gov/Services/TRM/ToolPage.aspx?tid=15279^","RocheDiabetes Care Platform Device Link")</f>
      </c>
      <c r="B2733" s="4" t="s">
        <v>3659</v>
      </c>
      <c r="C2733" s="9" t="s">
        <v>6</v>
      </c>
      <c r="D2733" s="12" t="s">
        <v>3660</v>
      </c>
    </row>
    <row r="2734">
      <c r="A2734" s="5">
        <f>HYPERLINK("https://www.oit.va.gov/Services/TRM/ToolPage.aspx?tid=16424^","Rockwell Automation FactoryTalk View Site Edition (Client)")</f>
      </c>
      <c r="B2734" s="4" t="s">
        <v>3661</v>
      </c>
      <c r="C2734" s="9" t="s">
        <v>6</v>
      </c>
      <c r="D2734" s="12" t="s">
        <v>3662</v>
      </c>
    </row>
    <row r="2735">
      <c r="A2735" s="5">
        <f>HYPERLINK("https://www.oit.va.gov/Services/TRM/ToolPage.aspx?tid=16425^","Rockwell Automation FactoryTalk View Site Edition (Server)")</f>
      </c>
      <c r="B2735" s="4" t="s">
        <v>3661</v>
      </c>
      <c r="C2735" s="9" t="s">
        <v>6</v>
      </c>
      <c r="D2735" s="12" t="s">
        <v>3662</v>
      </c>
    </row>
    <row r="2736">
      <c r="A2736" s="5">
        <f>HYPERLINK("https://www.oit.va.gov/Services/TRM/ToolPage.aspx?tid=7358^","Rocky Mountain Cancer Data Systems (RMCDS)")</f>
      </c>
      <c r="B2736" s="4" t="s">
        <v>3663</v>
      </c>
      <c r="C2736" s="9" t="s">
        <v>6</v>
      </c>
      <c r="D2736" s="12" t="s">
        <v>3664</v>
      </c>
    </row>
    <row r="2737">
      <c r="A2737" s="5">
        <f>HYPERLINK("https://www.oit.va.gov/Services/TRM/ToolPage.aspx?tid=16868^","Roland BN2 Utility")</f>
      </c>
      <c r="B2737" s="4" t="s">
        <v>3092</v>
      </c>
      <c r="C2737" s="9" t="s">
        <v>6</v>
      </c>
      <c r="D2737" s="12" t="s">
        <v>3665</v>
      </c>
    </row>
    <row r="2738">
      <c r="A2738" s="5">
        <f>HYPERLINK("https://www.oit.va.gov/Services/TRM/ToolPage.aspx?tid=16867^","Roland DG Connect")</f>
      </c>
      <c r="B2738" s="4" t="s">
        <v>3092</v>
      </c>
      <c r="C2738" s="9" t="s">
        <v>6</v>
      </c>
      <c r="D2738" s="12" t="s">
        <v>3665</v>
      </c>
    </row>
    <row r="2739">
      <c r="A2739" s="5">
        <f>HYPERLINK("https://www.oit.va.gov/Services/TRM/ToolPage.aspx?tid=8641^","Rosetta Stone")</f>
      </c>
      <c r="B2739" s="4" t="s">
        <v>3666</v>
      </c>
      <c r="C2739" s="9" t="s">
        <v>6</v>
      </c>
      <c r="D2739" s="12" t="s">
        <v>1365</v>
      </c>
    </row>
    <row r="2740">
      <c r="A2740" s="5">
        <f>HYPERLINK("https://www.oit.va.gov/Services/TRM/ToolPage.aspx?tid=14864^","Rx Universe")</f>
      </c>
      <c r="B2740" s="4" t="s">
        <v>3667</v>
      </c>
      <c r="C2740" s="9" t="s">
        <v>6</v>
      </c>
      <c r="D2740" s="12" t="s">
        <v>3668</v>
      </c>
    </row>
    <row r="2741">
      <c r="A2741" s="5">
        <f>HYPERLINK("https://www.oit.va.gov/Services/TRM/ToolPage.aspx?tid=8261^","SafeNet Authentication Client (SAC)")</f>
      </c>
      <c r="B2741" s="4" t="s">
        <v>3669</v>
      </c>
      <c r="C2741" s="9" t="s">
        <v>6</v>
      </c>
      <c r="D2741" s="12" t="s">
        <v>3271</v>
      </c>
    </row>
    <row r="2742">
      <c r="A2742" s="5">
        <f>HYPERLINK("https://www.oit.va.gov/Services/TRM/ToolPage.aspx?tid=10155^","Salesforce Data Loader")</f>
      </c>
      <c r="B2742" s="4" t="s">
        <v>593</v>
      </c>
      <c r="C2742" s="9" t="s">
        <v>6</v>
      </c>
      <c r="D2742" s="12" t="s">
        <v>3670</v>
      </c>
    </row>
    <row r="2743">
      <c r="A2743" s="5">
        <f>HYPERLINK("https://www.oit.va.gov/Services/TRM/ToolPage.aspx?tid=15599^","Salient Systems CompleteView")</f>
      </c>
      <c r="B2743" s="4" t="s">
        <v>3671</v>
      </c>
      <c r="C2743" s="9" t="s">
        <v>6</v>
      </c>
      <c r="D2743" s="12" t="s">
        <v>3672</v>
      </c>
    </row>
    <row r="2744">
      <c r="A2744" s="5">
        <f>HYPERLINK("https://www.oit.va.gov/Services/TRM/ToolPage.aspx?tid=10373^","Samsung Easy Printer Manager")</f>
      </c>
      <c r="B2744" s="4" t="s">
        <v>3351</v>
      </c>
      <c r="C2744" s="9" t="s">
        <v>6</v>
      </c>
      <c r="D2744" s="12" t="s">
        <v>3673</v>
      </c>
    </row>
    <row r="2745">
      <c r="A2745" s="5">
        <f>HYPERLINK("https://www.oit.va.gov/Services/TRM/ToolPage.aspx?tid=12958^","Sandcastle Help File Builder (SHFB)")</f>
      </c>
      <c r="B2745" s="4" t="s">
        <v>3674</v>
      </c>
      <c r="C2745" s="9" t="s">
        <v>6</v>
      </c>
      <c r="D2745" s="12" t="s">
        <v>1573</v>
      </c>
    </row>
    <row r="2746">
      <c r="A2746" s="5">
        <f>HYPERLINK("https://www.oit.va.gov/Services/TRM/ToolPage.aspx?tid=9975^","SANtricity Storage Manager")</f>
      </c>
      <c r="B2746" s="4" t="s">
        <v>472</v>
      </c>
      <c r="C2746" s="9" t="s">
        <v>6</v>
      </c>
      <c r="D2746" s="12" t="s">
        <v>3675</v>
      </c>
    </row>
    <row r="2747">
      <c r="A2747" s="5">
        <f>HYPERLINK("https://www.oit.va.gov/Services/TRM/ToolPage.aspx?tid=16359^","Sapphire Drug Library Editor")</f>
      </c>
      <c r="B2747" s="4" t="s">
        <v>3676</v>
      </c>
      <c r="C2747" s="9" t="s">
        <v>6</v>
      </c>
      <c r="D2747" s="12" t="s">
        <v>115</v>
      </c>
    </row>
    <row r="2748">
      <c r="A2748" s="5">
        <f>HYPERLINK("https://www.oit.va.gov/Services/TRM/ToolPage.aspx?tid=6223^","SAS Statistical Analysis (SAS/STAT)")</f>
      </c>
      <c r="B2748" s="4" t="s">
        <v>183</v>
      </c>
      <c r="C2748" s="9" t="s">
        <v>6</v>
      </c>
      <c r="D2748" s="12" t="s">
        <v>1521</v>
      </c>
    </row>
    <row r="2749">
      <c r="A2749" s="5">
        <f>HYPERLINK("https://www.oit.va.gov/Services/TRM/ToolPage.aspx?tid=7001^","ScheduALL")</f>
      </c>
      <c r="B2749" s="4" t="s">
        <v>3677</v>
      </c>
      <c r="C2749" s="9" t="s">
        <v>6</v>
      </c>
      <c r="D2749" s="12" t="s">
        <v>2626</v>
      </c>
    </row>
    <row r="2750">
      <c r="A2750" s="5">
        <f>HYPERLINK("https://www.oit.va.gov/Services/TRM/ToolPage.aspx?tid=6923^","ScienceLogic SL1")</f>
      </c>
      <c r="B2750" s="4" t="s">
        <v>3678</v>
      </c>
      <c r="C2750" s="9" t="s">
        <v>6</v>
      </c>
      <c r="D2750" s="12" t="s">
        <v>3679</v>
      </c>
    </row>
    <row r="2751">
      <c r="A2751" s="5">
        <f>HYPERLINK("https://www.oit.va.gov/Services/TRM/ToolPage.aspx?tid=16308^","SD Elements")</f>
      </c>
      <c r="B2751" s="4" t="s">
        <v>3680</v>
      </c>
      <c r="C2751" s="9" t="s">
        <v>6</v>
      </c>
      <c r="D2751" s="12" t="s">
        <v>3681</v>
      </c>
    </row>
    <row r="2752">
      <c r="A2752" s="5">
        <f>HYPERLINK("https://www.oit.va.gov/Services/TRM/ToolPage.aspx?tid=5717^","Secure Computer Remote Terminal (CRT)")</f>
      </c>
      <c r="B2752" s="4" t="s">
        <v>3682</v>
      </c>
      <c r="C2752" s="9" t="s">
        <v>6</v>
      </c>
      <c r="D2752" s="12" t="s">
        <v>2524</v>
      </c>
    </row>
    <row r="2753">
      <c r="A2753" s="5">
        <f>HYPERLINK("https://www.oit.va.gov/Services/TRM/ToolPage.aspx?tid=12932^","Selenium WebDriver PhantomJS cross platform")</f>
      </c>
      <c r="B2753" s="4" t="s">
        <v>3683</v>
      </c>
      <c r="C2753" s="9" t="s">
        <v>6</v>
      </c>
      <c r="D2753" s="12" t="s">
        <v>3684</v>
      </c>
    </row>
    <row r="2754">
      <c r="A2754" s="5">
        <f>HYPERLINK("https://www.oit.va.gov/Services/TRM/ToolPage.aspx?tid=8499^","Sendsuite Tracking")</f>
      </c>
      <c r="B2754" s="4" t="s">
        <v>1366</v>
      </c>
      <c r="C2754" s="9" t="s">
        <v>6</v>
      </c>
      <c r="D2754" s="12" t="s">
        <v>402</v>
      </c>
    </row>
    <row r="2755">
      <c r="A2755" s="5">
        <f>HYPERLINK("https://www.oit.va.gov/Services/TRM/ToolPage.aspx?tid=14268^","SendSuite Tracking Assistant (TA Plus)")</f>
      </c>
      <c r="B2755" s="4" t="s">
        <v>1366</v>
      </c>
      <c r="C2755" s="9" t="s">
        <v>6</v>
      </c>
      <c r="D2755" s="12" t="s">
        <v>3685</v>
      </c>
    </row>
    <row r="2756">
      <c r="A2756" s="5">
        <f>HYPERLINK("https://www.oit.va.gov/Services/TRM/ToolPage.aspx?tid=10570^","Sentinel Rights Management System (RMS)")</f>
      </c>
      <c r="B2756" s="4" t="s">
        <v>3669</v>
      </c>
      <c r="C2756" s="9" t="s">
        <v>6</v>
      </c>
      <c r="D2756" s="12" t="s">
        <v>672</v>
      </c>
    </row>
    <row r="2757">
      <c r="A2757" s="5">
        <f>HYPERLINK("https://www.oit.va.gov/Services/TRM/ToolPage.aspx?tid=16649^","Serial Data Communication (SEDACOM)")</f>
      </c>
      <c r="B2757" s="4" t="s">
        <v>3686</v>
      </c>
      <c r="C2757" s="9" t="s">
        <v>6</v>
      </c>
      <c r="D2757" s="12" t="s">
        <v>3687</v>
      </c>
    </row>
    <row r="2758">
      <c r="A2758" s="5">
        <f>HYPERLINK("https://www.oit.va.gov/Services/TRM/ToolPage.aspx?tid=6472^","Server Express")</f>
      </c>
      <c r="B2758" s="4" t="s">
        <v>1411</v>
      </c>
      <c r="C2758" s="9" t="s">
        <v>6</v>
      </c>
      <c r="D2758" s="12" t="s">
        <v>3688</v>
      </c>
    </row>
    <row r="2759">
      <c r="A2759" s="5">
        <f>HYPERLINK("https://www.oit.va.gov/Services/TRM/ToolPage.aspx?tid=7615^","ServiceConnect")</f>
      </c>
      <c r="B2759" s="4" t="s">
        <v>1125</v>
      </c>
      <c r="C2759" s="9" t="s">
        <v>6</v>
      </c>
      <c r="D2759" s="12" t="s">
        <v>3267</v>
      </c>
    </row>
    <row r="2760">
      <c r="A2760" s="5">
        <f>HYPERLINK("https://www.oit.va.gov/Services/TRM/ToolPage.aspx?tid=8980^","ShowCase")</f>
      </c>
      <c r="B2760" s="4" t="s">
        <v>3689</v>
      </c>
      <c r="C2760" s="9" t="s">
        <v>6</v>
      </c>
      <c r="D2760" s="12" t="s">
        <v>3690</v>
      </c>
    </row>
    <row r="2761">
      <c r="A2761" s="5">
        <f>HYPERLINK("https://www.oit.va.gov/Services/TRM/ToolPage.aspx?tid=14741^","Sidexis 4")</f>
      </c>
      <c r="B2761" s="4" t="s">
        <v>3691</v>
      </c>
      <c r="C2761" s="9" t="s">
        <v>6</v>
      </c>
      <c r="D2761" s="12" t="s">
        <v>3692</v>
      </c>
    </row>
    <row r="2762">
      <c r="A2762" s="5">
        <f>HYPERLINK("https://www.oit.va.gov/Services/TRM/ToolPage.aspx?tid=9378^","SigmaStat")</f>
      </c>
      <c r="B2762" s="4" t="s">
        <v>3693</v>
      </c>
      <c r="C2762" s="9" t="s">
        <v>6</v>
      </c>
      <c r="D2762" s="12" t="s">
        <v>3694</v>
      </c>
    </row>
    <row r="2763">
      <c r="A2763" s="5">
        <f>HYPERLINK("https://www.oit.va.gov/Services/TRM/ToolPage.aspx?tid=6135^","SigPlus")</f>
      </c>
      <c r="B2763" s="4" t="s">
        <v>189</v>
      </c>
      <c r="C2763" s="9" t="s">
        <v>6</v>
      </c>
      <c r="D2763" s="12" t="s">
        <v>680</v>
      </c>
    </row>
    <row r="2764">
      <c r="A2764" s="5">
        <f>HYPERLINK("https://www.oit.va.gov/Services/TRM/ToolPage.aspx?tid=8357^","SigWeb")</f>
      </c>
      <c r="B2764" s="4" t="s">
        <v>189</v>
      </c>
      <c r="C2764" s="9" t="s">
        <v>6</v>
      </c>
      <c r="D2764" s="12" t="s">
        <v>3365</v>
      </c>
    </row>
    <row r="2765">
      <c r="A2765" s="5">
        <f>HYPERLINK("https://www.oit.va.gov/Services/TRM/ToolPage.aspx?tid=15489^","SimpleNeuro-linguistic Programming (SimpleNLP)")</f>
      </c>
      <c r="B2765" s="4" t="s">
        <v>3695</v>
      </c>
      <c r="C2765" s="9" t="s">
        <v>6</v>
      </c>
      <c r="D2765" s="12" t="s">
        <v>3696</v>
      </c>
    </row>
    <row r="2766">
      <c r="A2766" s="5">
        <f>HYPERLINK("https://www.oit.va.gov/Services/TRM/ToolPage.aspx?tid=14062^","Simplenote")</f>
      </c>
      <c r="B2766" s="4" t="s">
        <v>3697</v>
      </c>
      <c r="C2766" s="9" t="s">
        <v>6</v>
      </c>
      <c r="D2766" s="12" t="s">
        <v>3698</v>
      </c>
    </row>
    <row r="2767">
      <c r="A2767" s="5">
        <f>HYPERLINK("https://www.oit.va.gov/Services/TRM/ToolPage.aspx?tid=7589^","Singlewire InformaCast Advanced Notification")</f>
      </c>
      <c r="B2767" s="4" t="s">
        <v>3699</v>
      </c>
      <c r="C2767" s="9" t="s">
        <v>6</v>
      </c>
      <c r="D2767" s="12" t="s">
        <v>3700</v>
      </c>
    </row>
    <row r="2768">
      <c r="A2768" s="5">
        <f>HYPERLINK("https://www.oit.va.gov/Services/TRM/ToolPage.aspx?tid=14851^","SiteScan Services")</f>
      </c>
      <c r="B2768" s="4" t="s">
        <v>3701</v>
      </c>
      <c r="C2768" s="9" t="s">
        <v>6</v>
      </c>
      <c r="D2768" s="12" t="s">
        <v>3675</v>
      </c>
    </row>
    <row r="2769">
      <c r="A2769" s="5">
        <f>HYPERLINK("https://www.oit.va.gov/Services/TRM/ToolPage.aspx?tid=5986^","SketchUp")</f>
      </c>
      <c r="B2769" s="4" t="s">
        <v>3702</v>
      </c>
      <c r="C2769" s="9" t="s">
        <v>6</v>
      </c>
      <c r="D2769" s="12" t="s">
        <v>3703</v>
      </c>
    </row>
    <row r="2770">
      <c r="A2770" s="5">
        <f>HYPERLINK("https://www.oit.va.gov/Services/TRM/ToolPage.aspx?tid=7724^","Skull Anatomy")</f>
      </c>
      <c r="B2770" s="4" t="s">
        <v>685</v>
      </c>
      <c r="C2770" s="9" t="s">
        <v>6</v>
      </c>
      <c r="D2770" s="12" t="s">
        <v>3704</v>
      </c>
    </row>
    <row r="2771">
      <c r="A2771" s="5">
        <f>HYPERLINK("https://www.oit.va.gov/Services/TRM/ToolPage.aspx?tid=7731^","Skull Computed Tomography (Skull-CT)")</f>
      </c>
      <c r="B2771" s="4" t="s">
        <v>685</v>
      </c>
      <c r="C2771" s="9" t="s">
        <v>6</v>
      </c>
      <c r="D2771" s="12" t="s">
        <v>1531</v>
      </c>
    </row>
    <row r="2772">
      <c r="A2772" s="5">
        <f>HYPERLINK("https://www.oit.va.gov/Services/TRM/ToolPage.aspx?tid=8658^","Skyhigh Secure Web Gateway")</f>
      </c>
      <c r="B2772" s="4" t="s">
        <v>3705</v>
      </c>
      <c r="C2772" s="9" t="s">
        <v>6</v>
      </c>
      <c r="D2772" s="12" t="s">
        <v>15</v>
      </c>
    </row>
    <row r="2773">
      <c r="A2773" s="5">
        <f>HYPERLINK("https://www.oit.va.gov/Services/TRM/ToolPage.aspx?tid=11623^","Slack Desktop Client")</f>
      </c>
      <c r="B2773" s="4" t="s">
        <v>3706</v>
      </c>
      <c r="C2773" s="9" t="s">
        <v>6</v>
      </c>
      <c r="D2773" s="12" t="s">
        <v>3707</v>
      </c>
    </row>
    <row r="2774">
      <c r="A2774" s="5">
        <f>HYPERLINK("https://www.oit.va.gov/Services/TRM/ToolPage.aspx?tid=15899^","Slate")</f>
      </c>
      <c r="B2774" s="4" t="s">
        <v>3708</v>
      </c>
      <c r="C2774" s="9" t="s">
        <v>6</v>
      </c>
      <c r="D2774" s="12" t="s">
        <v>3709</v>
      </c>
    </row>
    <row r="2775">
      <c r="A2775" s="5">
        <f>HYPERLINK("https://www.oit.va.gov/Services/TRM/ToolPage.aspx?tid=15768^","Slido for PowerPoint")</f>
      </c>
      <c r="B2775" s="4" t="s">
        <v>3710</v>
      </c>
      <c r="C2775" s="9" t="s">
        <v>6</v>
      </c>
      <c r="D2775" s="12" t="s">
        <v>3385</v>
      </c>
    </row>
    <row r="2776">
      <c r="A2776" s="5">
        <f>HYPERLINK("https://www.oit.va.gov/Services/TRM/ToolPage.aspx?tid=5576^","Smart Fit")</f>
      </c>
      <c r="B2776" s="4" t="s">
        <v>3711</v>
      </c>
      <c r="C2776" s="9" t="s">
        <v>6</v>
      </c>
      <c r="D2776" s="12" t="s">
        <v>2642</v>
      </c>
    </row>
    <row r="2777">
      <c r="A2777" s="5">
        <f>HYPERLINK("https://www.oit.va.gov/Services/TRM/ToolPage.aspx?tid=11789^","Smart IC Realtime Surveillance System (ICRSS) Remote Client")</f>
      </c>
      <c r="B2777" s="4" t="s">
        <v>3712</v>
      </c>
      <c r="C2777" s="9" t="s">
        <v>6</v>
      </c>
      <c r="D2777" s="12" t="s">
        <v>1027</v>
      </c>
    </row>
    <row r="2778">
      <c r="A2778" s="5">
        <f>HYPERLINK("https://www.oit.va.gov/Services/TRM/ToolPage.aspx?tid=14342^","SMART Ink")</f>
      </c>
      <c r="B2778" s="4" t="s">
        <v>3713</v>
      </c>
      <c r="C2778" s="9" t="s">
        <v>6</v>
      </c>
      <c r="D2778" s="12" t="s">
        <v>3714</v>
      </c>
    </row>
    <row r="2779">
      <c r="A2779" s="5">
        <f>HYPERLINK("https://www.oit.va.gov/Services/TRM/ToolPage.aspx?tid=15122^","Smart Light Emitting Diode (LED) Manager Pro")</f>
      </c>
      <c r="B2779" s="4" t="s">
        <v>3715</v>
      </c>
      <c r="C2779" s="9" t="s">
        <v>6</v>
      </c>
      <c r="D2779" s="12" t="s">
        <v>3716</v>
      </c>
    </row>
    <row r="2780">
      <c r="A2780" s="5">
        <f>HYPERLINK("https://www.oit.va.gov/Services/TRM/ToolPage.aspx?tid=7239^","SMART Meeting Pro")</f>
      </c>
      <c r="B2780" s="4" t="s">
        <v>3713</v>
      </c>
      <c r="C2780" s="9" t="s">
        <v>6</v>
      </c>
      <c r="D2780" s="12" t="s">
        <v>1611</v>
      </c>
    </row>
    <row r="2781">
      <c r="A2781" s="5">
        <f>HYPERLINK("https://www.oit.va.gov/Services/TRM/ToolPage.aspx?tid=6137^","SMART Notebook")</f>
      </c>
      <c r="B2781" s="4" t="s">
        <v>3713</v>
      </c>
      <c r="C2781" s="9" t="s">
        <v>6</v>
      </c>
      <c r="D2781" s="12" t="s">
        <v>3717</v>
      </c>
    </row>
    <row r="2782">
      <c r="A2782" s="5">
        <f>HYPERLINK("https://www.oit.va.gov/Services/TRM/ToolPage.aspx?tid=7206^","SmartCOMM")</f>
      </c>
      <c r="B2782" s="4" t="s">
        <v>3718</v>
      </c>
      <c r="C2782" s="9" t="s">
        <v>6</v>
      </c>
      <c r="D2782" s="12" t="s">
        <v>1149</v>
      </c>
    </row>
    <row r="2783">
      <c r="A2783" s="5">
        <f>HYPERLINK("https://www.oit.va.gov/Services/TRM/ToolPage.aspx?tid=15358^","SmartSync Pro")</f>
      </c>
      <c r="B2783" s="4" t="s">
        <v>3719</v>
      </c>
      <c r="C2783" s="9" t="s">
        <v>6</v>
      </c>
      <c r="D2783" s="12" t="s">
        <v>3720</v>
      </c>
    </row>
    <row r="2784">
      <c r="A2784" s="5">
        <f>HYPERLINK("https://www.oit.va.gov/Services/TRM/ToolPage.aspx?tid=16471^","Smile Health Data Fabric (Smile HDF)")</f>
      </c>
      <c r="B2784" s="4" t="s">
        <v>3721</v>
      </c>
      <c r="C2784" s="9" t="s">
        <v>6</v>
      </c>
      <c r="D2784" s="12" t="s">
        <v>3722</v>
      </c>
    </row>
    <row r="2785">
      <c r="A2785" s="5">
        <f>HYPERLINK("https://www.oit.va.gov/Services/TRM/ToolPage.aspx?tid=8505^","SNAP XMP Desktop")</f>
      </c>
      <c r="B2785" s="4" t="s">
        <v>3723</v>
      </c>
      <c r="C2785" s="9" t="s">
        <v>6</v>
      </c>
      <c r="D2785" s="12" t="s">
        <v>3724</v>
      </c>
    </row>
    <row r="2786">
      <c r="A2786" s="5">
        <f>HYPERLINK("https://www.oit.va.gov/Services/TRM/ToolPage.aspx?tid=7597^","SnapComms")</f>
      </c>
      <c r="B2786" s="4" t="s">
        <v>3725</v>
      </c>
      <c r="C2786" s="9" t="s">
        <v>6</v>
      </c>
      <c r="D2786" s="12" t="s">
        <v>3726</v>
      </c>
    </row>
    <row r="2787">
      <c r="A2787" s="5">
        <f>HYPERLINK("https://www.oit.va.gov/Services/TRM/ToolPage.aspx?tid=6476^","Snare Agent")</f>
      </c>
      <c r="B2787" s="4" t="s">
        <v>3727</v>
      </c>
      <c r="C2787" s="9" t="s">
        <v>6</v>
      </c>
      <c r="D2787" s="12" t="s">
        <v>3728</v>
      </c>
    </row>
    <row r="2788">
      <c r="A2788" s="5">
        <f>HYPERLINK("https://www.oit.va.gov/Services/TRM/ToolPage.aspx?tid=15860^","Snipe-IT")</f>
      </c>
      <c r="B2788" s="4" t="s">
        <v>3729</v>
      </c>
      <c r="C2788" s="9" t="s">
        <v>6</v>
      </c>
      <c r="D2788" s="12" t="s">
        <v>3730</v>
      </c>
    </row>
    <row r="2789">
      <c r="A2789" s="5">
        <f>HYPERLINK("https://www.oit.va.gov/Services/TRM/ToolPage.aspx?tid=15344^","Softtech Health Document Management System (DMS)")</f>
      </c>
      <c r="B2789" s="4" t="s">
        <v>3731</v>
      </c>
      <c r="C2789" s="9" t="s">
        <v>6</v>
      </c>
      <c r="D2789" s="12" t="s">
        <v>3732</v>
      </c>
    </row>
    <row r="2790">
      <c r="A2790" s="5">
        <f>HYPERLINK("https://www.oit.va.gov/Services/TRM/ToolPage.aspx?tid=16797^","Solar Technology Command Center")</f>
      </c>
      <c r="B2790" s="4" t="s">
        <v>3733</v>
      </c>
      <c r="C2790" s="9" t="s">
        <v>6</v>
      </c>
      <c r="D2790" s="12" t="s">
        <v>1668</v>
      </c>
    </row>
    <row r="2791">
      <c r="A2791" s="5">
        <f>HYPERLINK("https://www.oit.va.gov/Services/TRM/ToolPage.aspx?tid=13876^","SolarWinds Database Performance Analyzer")</f>
      </c>
      <c r="B2791" s="4" t="s">
        <v>431</v>
      </c>
      <c r="C2791" s="9" t="s">
        <v>6</v>
      </c>
      <c r="D2791" s="12" t="s">
        <v>3734</v>
      </c>
    </row>
    <row r="2792">
      <c r="A2792" s="5">
        <f>HYPERLINK("https://www.oit.va.gov/Services/TRM/ToolPage.aspx?tid=6383^","SolarWinds Engineers Toolset (ETS)")</f>
      </c>
      <c r="B2792" s="4" t="s">
        <v>431</v>
      </c>
      <c r="C2792" s="9" t="s">
        <v>6</v>
      </c>
      <c r="D2792" s="12" t="s">
        <v>3735</v>
      </c>
    </row>
    <row r="2793">
      <c r="A2793" s="5">
        <f>HYPERLINK("https://www.oit.va.gov/Services/TRM/ToolPage.aspx?tid=15019^","Solarwinds Enterprise Operation Console (EOC)")</f>
      </c>
      <c r="B2793" s="4" t="s">
        <v>431</v>
      </c>
      <c r="C2793" s="9" t="s">
        <v>6</v>
      </c>
      <c r="D2793" s="12" t="s">
        <v>3736</v>
      </c>
    </row>
    <row r="2794">
      <c r="A2794" s="5">
        <f>HYPERLINK("https://www.oit.va.gov/Services/TRM/ToolPage.aspx?tid=13755^","Solarwinds Internet Protocol (IP) Monitor")</f>
      </c>
      <c r="B2794" s="4" t="s">
        <v>431</v>
      </c>
      <c r="C2794" s="9" t="s">
        <v>6</v>
      </c>
      <c r="D2794" s="12" t="s">
        <v>3737</v>
      </c>
    </row>
    <row r="2795">
      <c r="A2795" s="5">
        <f>HYPERLINK("https://www.oit.va.gov/Services/TRM/ToolPage.aspx?tid=16782^","SolarWinds IP Address Tracker")</f>
      </c>
      <c r="B2795" s="4" t="s">
        <v>431</v>
      </c>
      <c r="C2795" s="9" t="s">
        <v>6</v>
      </c>
      <c r="D2795" s="12" t="s">
        <v>3529</v>
      </c>
    </row>
    <row r="2796">
      <c r="A2796" s="5">
        <f>HYPERLINK("https://www.oit.va.gov/Services/TRM/ToolPage.aspx?tid=11691^","SolarWinds License Manager")</f>
      </c>
      <c r="B2796" s="4" t="s">
        <v>431</v>
      </c>
      <c r="C2796" s="9" t="s">
        <v>6</v>
      </c>
      <c r="D2796" s="12" t="s">
        <v>3738</v>
      </c>
    </row>
    <row r="2797">
      <c r="A2797" s="5">
        <f>HYPERLINK("https://www.oit.va.gov/Services/TRM/ToolPage.aspx?tid=8395^","SolarWinds NetFlow Traffic Analyzer (NTA)")</f>
      </c>
      <c r="B2797" s="4" t="s">
        <v>431</v>
      </c>
      <c r="C2797" s="9" t="s">
        <v>6</v>
      </c>
      <c r="D2797" s="12" t="s">
        <v>3739</v>
      </c>
    </row>
    <row r="2798">
      <c r="A2798" s="5">
        <f>HYPERLINK("https://www.oit.va.gov/Services/TRM/ToolPage.aspx?tid=9091^","SolarWinds Network Configuration Manager")</f>
      </c>
      <c r="B2798" s="4" t="s">
        <v>431</v>
      </c>
      <c r="C2798" s="9" t="s">
        <v>6</v>
      </c>
      <c r="D2798" s="12" t="s">
        <v>3740</v>
      </c>
    </row>
    <row r="2799">
      <c r="A2799" s="5">
        <f>HYPERLINK("https://www.oit.va.gov/Services/TRM/ToolPage.aspx?tid=6384^","Solarwinds Network Performance Monitor")</f>
      </c>
      <c r="B2799" s="4" t="s">
        <v>431</v>
      </c>
      <c r="C2799" s="9" t="s">
        <v>6</v>
      </c>
      <c r="D2799" s="12" t="s">
        <v>3741</v>
      </c>
    </row>
    <row r="2800">
      <c r="A2800" s="5">
        <f>HYPERLINK("https://www.oit.va.gov/Services/TRM/ToolPage.aspx?tid=15072^","SolarWinds Patch Manager")</f>
      </c>
      <c r="B2800" s="4" t="s">
        <v>431</v>
      </c>
      <c r="C2800" s="9" t="s">
        <v>6</v>
      </c>
      <c r="D2800" s="12" t="s">
        <v>3742</v>
      </c>
    </row>
    <row r="2801">
      <c r="A2801" s="5">
        <f>HYPERLINK("https://www.oit.va.gov/Services/TRM/ToolPage.aspx?tid=15152^","SolarWinds Recommendations")</f>
      </c>
      <c r="B2801" s="4" t="s">
        <v>431</v>
      </c>
      <c r="C2801" s="9" t="s">
        <v>6</v>
      </c>
      <c r="D2801" s="12" t="s">
        <v>3743</v>
      </c>
    </row>
    <row r="2802">
      <c r="A2802" s="5">
        <f>HYPERLINK("https://www.oit.va.gov/Services/TRM/ToolPage.aspx?tid=8195^","SolarWinds Server and Application Monitor (SAM)")</f>
      </c>
      <c r="B2802" s="4" t="s">
        <v>431</v>
      </c>
      <c r="C2802" s="9" t="s">
        <v>6</v>
      </c>
      <c r="D2802" s="12" t="s">
        <v>3744</v>
      </c>
    </row>
    <row r="2803">
      <c r="A2803" s="5">
        <f>HYPERLINK("https://www.oit.va.gov/Services/TRM/ToolPage.aspx?tid=6139^","SolarWinds Simple Network Management Protocol (SNMP) Enabler for Windows")</f>
      </c>
      <c r="B2803" s="4" t="s">
        <v>431</v>
      </c>
      <c r="C2803" s="9" t="s">
        <v>6</v>
      </c>
      <c r="D2803" s="12" t="s">
        <v>3745</v>
      </c>
    </row>
    <row r="2804">
      <c r="A2804" s="5">
        <f>HYPERLINK("https://www.oit.va.gov/Services/TRM/ToolPage.aspx?tid=10591^","SolarWinds Storage Resource Monitor (SRM)")</f>
      </c>
      <c r="B2804" s="4" t="s">
        <v>431</v>
      </c>
      <c r="C2804" s="9" t="s">
        <v>6</v>
      </c>
      <c r="D2804" s="12" t="s">
        <v>3746</v>
      </c>
    </row>
    <row r="2805">
      <c r="A2805" s="5">
        <f>HYPERLINK("https://www.oit.va.gov/Services/TRM/ToolPage.aspx?tid=8488^","SolarWinds User Device Tracker (UDT)")</f>
      </c>
      <c r="B2805" s="4" t="s">
        <v>431</v>
      </c>
      <c r="C2805" s="9" t="s">
        <v>6</v>
      </c>
      <c r="D2805" s="12" t="s">
        <v>3746</v>
      </c>
    </row>
    <row r="2806">
      <c r="A2806" s="5">
        <f>HYPERLINK("https://www.oit.va.gov/Services/TRM/ToolPage.aspx?tid=8396^","SolarWinds Voice over Internet Protocol (VoIP) and Network Quality Manager")</f>
      </c>
      <c r="B2806" s="4" t="s">
        <v>431</v>
      </c>
      <c r="C2806" s="9" t="s">
        <v>6</v>
      </c>
      <c r="D2806" s="12" t="s">
        <v>3737</v>
      </c>
    </row>
    <row r="2807">
      <c r="A2807" s="5">
        <f>HYPERLINK("https://www.oit.va.gov/Services/TRM/ToolPage.aspx?tid=15953^","SolarWinds Web Help Desk (WHD)")</f>
      </c>
      <c r="B2807" s="4" t="s">
        <v>431</v>
      </c>
      <c r="C2807" s="9" t="s">
        <v>6</v>
      </c>
      <c r="D2807" s="12" t="s">
        <v>3747</v>
      </c>
    </row>
    <row r="2808">
      <c r="A2808" s="5">
        <f>HYPERLINK("https://www.oit.va.gov/Services/TRM/ToolPage.aspx?tid=16369^","SolarWinds Web Performance Monitor")</f>
      </c>
      <c r="B2808" s="4" t="s">
        <v>431</v>
      </c>
      <c r="C2808" s="9" t="s">
        <v>6</v>
      </c>
      <c r="D2808" s="12" t="s">
        <v>3642</v>
      </c>
    </row>
    <row r="2809">
      <c r="A2809" s="5">
        <f>HYPERLINK("https://www.oit.va.gov/Services/TRM/ToolPage.aspx?tid=5973^","SolidWorks File Utilities")</f>
      </c>
      <c r="B2809" s="4" t="s">
        <v>3748</v>
      </c>
      <c r="C2809" s="9" t="s">
        <v>6</v>
      </c>
      <c r="D2809" s="12" t="s">
        <v>3675</v>
      </c>
    </row>
    <row r="2810">
      <c r="A2810" s="5">
        <f>HYPERLINK("https://www.oit.va.gov/Services/TRM/ToolPage.aspx?tid=6140^","SolidWorks Three-Dimensional (3D) Computer-Aided Design (CAD)")</f>
      </c>
      <c r="B2810" s="4" t="s">
        <v>3748</v>
      </c>
      <c r="C2810" s="9" t="s">
        <v>6</v>
      </c>
      <c r="D2810" s="12" t="s">
        <v>3749</v>
      </c>
    </row>
    <row r="2811">
      <c r="A2811" s="5">
        <f>HYPERLINK("https://www.oit.va.gov/Services/TRM/ToolPage.aspx?tid=16580^","Solstice")</f>
      </c>
      <c r="B2811" s="4" t="s">
        <v>3750</v>
      </c>
      <c r="C2811" s="9" t="s">
        <v>6</v>
      </c>
      <c r="D2811" s="12" t="s">
        <v>3751</v>
      </c>
    </row>
    <row r="2812">
      <c r="A2812" s="5">
        <f>HYPERLINK("https://www.oit.va.gov/Services/TRM/ToolPage.aspx?tid=14961^","Somnoware")</f>
      </c>
      <c r="B2812" s="4" t="s">
        <v>3752</v>
      </c>
      <c r="C2812" s="9" t="s">
        <v>6</v>
      </c>
      <c r="D2812" s="12" t="s">
        <v>1536</v>
      </c>
    </row>
    <row r="2813">
      <c r="A2813" s="5">
        <f>HYPERLINK("https://www.oit.va.gov/Services/TRM/ToolPage.aspx?tid=16438^","Somnoware Device Interface (SDI)")</f>
      </c>
      <c r="B2813" s="4" t="s">
        <v>3753</v>
      </c>
      <c r="C2813" s="9" t="s">
        <v>6</v>
      </c>
      <c r="D2813" s="12" t="s">
        <v>1858</v>
      </c>
    </row>
    <row r="2814">
      <c r="A2814" s="5">
        <f>HYPERLINK("https://www.oit.va.gov/Services/TRM/ToolPage.aspx?tid=6411^","Sonatype Nexus Repository")</f>
      </c>
      <c r="B2814" s="4" t="s">
        <v>3443</v>
      </c>
      <c r="C2814" s="9" t="s">
        <v>6</v>
      </c>
      <c r="D2814" s="12" t="s">
        <v>3747</v>
      </c>
    </row>
    <row r="2815">
      <c r="A2815" s="5">
        <f>HYPERLINK("https://www.oit.va.gov/Services/TRM/ToolPage.aspx?tid=16207^","SonoSim Ultrasound Training Solution")</f>
      </c>
      <c r="B2815" s="4" t="s">
        <v>3754</v>
      </c>
      <c r="C2815" s="9" t="s">
        <v>6</v>
      </c>
      <c r="D2815" s="12" t="s">
        <v>2990</v>
      </c>
    </row>
    <row r="2816">
      <c r="A2816" s="5">
        <f>HYPERLINK("https://www.oit.va.gov/Services/TRM/ToolPage.aspx?tid=6926^","Sorenson ntouch Desktop")</f>
      </c>
      <c r="B2816" s="4" t="s">
        <v>3755</v>
      </c>
      <c r="C2816" s="9" t="s">
        <v>6</v>
      </c>
      <c r="D2816" s="12" t="s">
        <v>783</v>
      </c>
    </row>
    <row r="2817">
      <c r="A2817" s="5">
        <f>HYPERLINK("https://www.oit.va.gov/Services/TRM/ToolPage.aspx?tid=16717^","SortSite")</f>
      </c>
      <c r="B2817" s="4" t="s">
        <v>3756</v>
      </c>
      <c r="C2817" s="9" t="s">
        <v>6</v>
      </c>
      <c r="D2817" s="12" t="s">
        <v>3757</v>
      </c>
    </row>
    <row r="2818">
      <c r="A2818" s="5">
        <f>HYPERLINK("https://www.oit.va.gov/Services/TRM/ToolPage.aspx?tid=11464^","SOTI MobiControl")</f>
      </c>
      <c r="B2818" s="4" t="s">
        <v>3758</v>
      </c>
      <c r="C2818" s="9" t="s">
        <v>6</v>
      </c>
      <c r="D2818" s="12" t="s">
        <v>3759</v>
      </c>
    </row>
    <row r="2819">
      <c r="A2819" s="5">
        <f>HYPERLINK("https://www.oit.va.gov/Services/TRM/ToolPage.aspx?tid=7324^","Sparx Systems Enterprise Architect")</f>
      </c>
      <c r="B2819" s="4" t="s">
        <v>3760</v>
      </c>
      <c r="C2819" s="9" t="s">
        <v>6</v>
      </c>
      <c r="D2819" s="12" t="s">
        <v>3761</v>
      </c>
    </row>
    <row r="2820">
      <c r="A2820" s="5">
        <f>HYPERLINK("https://www.oit.va.gov/Services/TRM/ToolPage.aspx?tid=7120^","SpeechExec Pro")</f>
      </c>
      <c r="B2820" s="4" t="s">
        <v>919</v>
      </c>
      <c r="C2820" s="9" t="s">
        <v>6</v>
      </c>
      <c r="D2820" s="12" t="s">
        <v>1736</v>
      </c>
    </row>
    <row r="2821">
      <c r="A2821" s="5">
        <f>HYPERLINK("https://www.oit.va.gov/Services/TRM/ToolPage.aspx?tid=15828^","Spee-Dee Ship")</f>
      </c>
      <c r="B2821" s="4" t="s">
        <v>3762</v>
      </c>
      <c r="C2821" s="9" t="s">
        <v>6</v>
      </c>
      <c r="D2821" s="12" t="s">
        <v>3763</v>
      </c>
    </row>
    <row r="2822">
      <c r="A2822" s="5">
        <f>HYPERLINK("https://www.oit.va.gov/Services/TRM/ToolPage.aspx?tid=8352^","Splunk Enterprise Security")</f>
      </c>
      <c r="B2822" s="4" t="s">
        <v>3764</v>
      </c>
      <c r="C2822" s="9" t="s">
        <v>6</v>
      </c>
      <c r="D2822" s="12" t="s">
        <v>1246</v>
      </c>
    </row>
    <row r="2823">
      <c r="A2823" s="5">
        <f>HYPERLINK("https://www.oit.va.gov/Services/TRM/ToolPage.aspx?tid=15918^","Splunk Information Technology Service Intelligence (ITSI)")</f>
      </c>
      <c r="B2823" s="4" t="s">
        <v>353</v>
      </c>
      <c r="C2823" s="9" t="s">
        <v>6</v>
      </c>
      <c r="D2823" s="12" t="s">
        <v>3765</v>
      </c>
    </row>
    <row r="2824">
      <c r="A2824" s="5">
        <f>HYPERLINK("https://www.oit.va.gov/Services/TRM/ToolPage.aspx?tid=9986^","Splunk Universal Forwarder")</f>
      </c>
      <c r="B2824" s="4" t="s">
        <v>353</v>
      </c>
      <c r="C2824" s="9" t="s">
        <v>6</v>
      </c>
      <c r="D2824" s="12" t="s">
        <v>3633</v>
      </c>
    </row>
    <row r="2825">
      <c r="A2825" s="5">
        <f>HYPERLINK("https://www.oit.va.gov/Services/TRM/ToolPage.aspx?tid=8508^","Spring Boot")</f>
      </c>
      <c r="B2825" s="4" t="s">
        <v>1512</v>
      </c>
      <c r="C2825" s="9" t="s">
        <v>6</v>
      </c>
      <c r="D2825" s="12" t="s">
        <v>52</v>
      </c>
    </row>
    <row r="2826">
      <c r="A2826" s="5">
        <f>HYPERLINK("https://www.oit.va.gov/Services/TRM/ToolPage.aspx?tid=6406^","SQLite")</f>
      </c>
      <c r="B2826" s="4" t="s">
        <v>3766</v>
      </c>
      <c r="C2826" s="9" t="s">
        <v>6</v>
      </c>
      <c r="D2826" s="12" t="s">
        <v>1039</v>
      </c>
    </row>
    <row r="2827">
      <c r="A2827" s="5">
        <f>HYPERLINK("https://www.oit.va.gov/Services/TRM/ToolPage.aspx?tid=15484^","St. George`s Respiratory Questionnaire (SGRQ)")</f>
      </c>
      <c r="B2827" s="4" t="s">
        <v>3767</v>
      </c>
      <c r="C2827" s="9" t="s">
        <v>6</v>
      </c>
      <c r="D2827" s="12" t="s">
        <v>3768</v>
      </c>
    </row>
    <row r="2828">
      <c r="A2828" s="5">
        <f>HYPERLINK("https://www.oit.va.gov/Services/TRM/ToolPage.aspx?tid=10984^","Stamps.com")</f>
      </c>
      <c r="B2828" s="4" t="s">
        <v>3769</v>
      </c>
      <c r="C2828" s="9" t="s">
        <v>6</v>
      </c>
      <c r="D2828" s="12" t="s">
        <v>3770</v>
      </c>
    </row>
    <row r="2829">
      <c r="A2829" s="5">
        <f>HYPERLINK("https://www.oit.va.gov/Services/TRM/ToolPage.aspx?tid=7329^","Statistical Analysis System (SAS) Cost and Profitability Management")</f>
      </c>
      <c r="B2829" s="4" t="s">
        <v>183</v>
      </c>
      <c r="C2829" s="9" t="s">
        <v>6</v>
      </c>
      <c r="D2829" s="12" t="s">
        <v>3642</v>
      </c>
    </row>
    <row r="2830">
      <c r="A2830" s="5">
        <f>HYPERLINK("https://www.oit.va.gov/Services/TRM/ToolPage.aspx?tid=11739^","SteelCentral Net Infrastructure Management (NetIM)")</f>
      </c>
      <c r="B2830" s="4" t="s">
        <v>2265</v>
      </c>
      <c r="C2830" s="9" t="s">
        <v>6</v>
      </c>
      <c r="D2830" s="12" t="s">
        <v>3771</v>
      </c>
    </row>
    <row r="2831">
      <c r="A2831" s="5">
        <f>HYPERLINK("https://www.oit.va.gov/Services/TRM/ToolPage.aspx?tid=13763^","SteelCentral NetPlanner")</f>
      </c>
      <c r="B2831" s="4" t="s">
        <v>2265</v>
      </c>
      <c r="C2831" s="9" t="s">
        <v>6</v>
      </c>
      <c r="D2831" s="12" t="s">
        <v>3772</v>
      </c>
    </row>
    <row r="2832">
      <c r="A2832" s="5">
        <f>HYPERLINK("https://www.oit.va.gov/Services/TRM/ToolPage.aspx?tid=16485^","Stellar Repair for Outlook")</f>
      </c>
      <c r="B2832" s="4" t="s">
        <v>3773</v>
      </c>
      <c r="C2832" s="9" t="s">
        <v>6</v>
      </c>
      <c r="D2832" s="12" t="s">
        <v>3774</v>
      </c>
    </row>
    <row r="2833">
      <c r="A2833" s="5">
        <f>HYPERLINK("https://www.oit.va.gov/Services/TRM/ToolPage.aspx?tid=6149^","Streem")</f>
      </c>
      <c r="B2833" s="4" t="s">
        <v>1608</v>
      </c>
      <c r="C2833" s="9" t="s">
        <v>6</v>
      </c>
      <c r="D2833" s="12" t="s">
        <v>240</v>
      </c>
    </row>
    <row r="2834">
      <c r="A2834" s="5">
        <f>HYPERLINK("https://www.oit.va.gov/Services/TRM/ToolPage.aspx?tid=14221^","Streem Print")</f>
      </c>
      <c r="B2834" s="4" t="s">
        <v>1608</v>
      </c>
      <c r="C2834" s="9" t="s">
        <v>6</v>
      </c>
      <c r="D2834" s="12" t="s">
        <v>3775</v>
      </c>
    </row>
    <row r="2835">
      <c r="A2835" s="5">
        <f>HYPERLINK("https://www.oit.va.gov/Services/TRM/ToolPage.aspx?tid=13769^","Strength Deployment Inventory (SDI) Platform")</f>
      </c>
      <c r="B2835" s="4" t="s">
        <v>3776</v>
      </c>
      <c r="C2835" s="9" t="s">
        <v>6</v>
      </c>
      <c r="D2835" s="12" t="s">
        <v>3777</v>
      </c>
    </row>
    <row r="2836">
      <c r="A2836" s="5">
        <f>HYPERLINK("https://www.oit.va.gov/Services/TRM/ToolPage.aspx?tid=7740^","Structured Query Language (SQL) Diagnostic Manager")</f>
      </c>
      <c r="B2836" s="4" t="s">
        <v>1034</v>
      </c>
      <c r="C2836" s="9" t="s">
        <v>6</v>
      </c>
      <c r="D2836" s="12" t="s">
        <v>3778</v>
      </c>
    </row>
    <row r="2837">
      <c r="A2837" s="5">
        <f>HYPERLINK("https://www.oit.va.gov/Services/TRM/ToolPage.aspx?tid=8437^","Structured Query Language (SQL) Doctor")</f>
      </c>
      <c r="B2837" s="4" t="s">
        <v>1034</v>
      </c>
      <c r="C2837" s="9" t="s">
        <v>6</v>
      </c>
      <c r="D2837" s="12" t="s">
        <v>2347</v>
      </c>
    </row>
    <row r="2838">
      <c r="A2838" s="5">
        <f>HYPERLINK("https://www.oit.va.gov/Services/TRM/ToolPage.aspx?tid=6333^","Structured Query Language (SQL) Optimizer for Oracle")</f>
      </c>
      <c r="B2838" s="4" t="s">
        <v>357</v>
      </c>
      <c r="C2838" s="9" t="s">
        <v>6</v>
      </c>
      <c r="D2838" s="12" t="s">
        <v>3779</v>
      </c>
    </row>
    <row r="2839">
      <c r="A2839" s="5">
        <f>HYPERLINK("https://www.oit.va.gov/Services/TRM/ToolPage.aspx?tid=16365^","Structured Query Language (SQL) Server Integration Services (SSIS) Projects 2022")</f>
      </c>
      <c r="B2839" s="4" t="s">
        <v>3780</v>
      </c>
      <c r="C2839" s="9" t="s">
        <v>6</v>
      </c>
      <c r="D2839" s="12" t="s">
        <v>743</v>
      </c>
    </row>
    <row r="2840">
      <c r="A2840" s="5">
        <f>HYPERLINK("https://www.oit.va.gov/Services/TRM/ToolPage.aspx?tid=15720^","Structured Query Language (SQL) Server Powershell Module")</f>
      </c>
      <c r="B2840" s="4" t="s">
        <v>3781</v>
      </c>
      <c r="C2840" s="9" t="s">
        <v>6</v>
      </c>
      <c r="D2840" s="12" t="s">
        <v>3502</v>
      </c>
    </row>
    <row r="2841">
      <c r="A2841" s="5">
        <f>HYPERLINK("https://www.oit.va.gov/Services/TRM/ToolPage.aspx?tid=10891^","SuitePoint! Point-of-Sale")</f>
      </c>
      <c r="B2841" s="4" t="s">
        <v>3466</v>
      </c>
      <c r="C2841" s="9" t="s">
        <v>6</v>
      </c>
      <c r="D2841" s="12" t="s">
        <v>3782</v>
      </c>
    </row>
    <row r="2842">
      <c r="A2842" s="5">
        <f>HYPERLINK("https://www.oit.va.gov/Services/TRM/ToolPage.aspx?tid=9715^","Sun Nuclear Corporation (SNC) Patient Software")</f>
      </c>
      <c r="B2842" s="4" t="s">
        <v>1539</v>
      </c>
      <c r="C2842" s="9" t="s">
        <v>6</v>
      </c>
      <c r="D2842" s="12" t="s">
        <v>3783</v>
      </c>
    </row>
    <row r="2843">
      <c r="A2843" s="5">
        <f>HYPERLINK("https://www.oit.va.gov/Services/TRM/ToolPage.aspx?tid=13777^","SuperSign Content Management Software (CMS)")</f>
      </c>
      <c r="B2843" s="4" t="s">
        <v>3322</v>
      </c>
      <c r="C2843" s="9" t="s">
        <v>6</v>
      </c>
      <c r="D2843" s="12" t="s">
        <v>2599</v>
      </c>
    </row>
    <row r="2844">
      <c r="A2844" s="5">
        <f>HYPERLINK("https://www.oit.va.gov/Services/TRM/ToolPage.aspx?tid=7799^","Surveillance, Epidemiology, and End Results (SEER) Stat")</f>
      </c>
      <c r="B2844" s="4" t="s">
        <v>3274</v>
      </c>
      <c r="C2844" s="9" t="s">
        <v>6</v>
      </c>
      <c r="D2844" s="12" t="s">
        <v>3784</v>
      </c>
    </row>
    <row r="2845">
      <c r="A2845" s="5">
        <f>HYPERLINK("https://www.oit.va.gov/Services/TRM/ToolPage.aspx?tid=9046^","Survey of Pain Attitudes (SOPA)")</f>
      </c>
      <c r="B2845" s="4" t="s">
        <v>2954</v>
      </c>
      <c r="C2845" s="9" t="s">
        <v>6</v>
      </c>
      <c r="D2845" s="12" t="s">
        <v>3785</v>
      </c>
    </row>
    <row r="2846">
      <c r="A2846" s="5">
        <f>HYPERLINK("https://www.oit.va.gov/Services/TRM/ToolPage.aspx?tid=9094^","Sustainable Planner")</f>
      </c>
      <c r="B2846" s="4" t="s">
        <v>3786</v>
      </c>
      <c r="C2846" s="9" t="s">
        <v>6</v>
      </c>
      <c r="D2846" s="12" t="s">
        <v>3787</v>
      </c>
    </row>
    <row r="2847">
      <c r="A2847" s="5">
        <f>HYPERLINK("https://www.oit.va.gov/Services/TRM/ToolPage.aspx?tid=15749^","Swagger Editor")</f>
      </c>
      <c r="B2847" s="4" t="s">
        <v>1406</v>
      </c>
      <c r="C2847" s="9" t="s">
        <v>6</v>
      </c>
      <c r="D2847" s="12" t="s">
        <v>1518</v>
      </c>
    </row>
    <row r="2848">
      <c r="A2848" s="5">
        <f>HYPERLINK("https://www.oit.va.gov/Services/TRM/ToolPage.aspx?tid=6150^","Switch Sound File Converter")</f>
      </c>
      <c r="B2848" s="4" t="s">
        <v>3532</v>
      </c>
      <c r="C2848" s="9" t="s">
        <v>6</v>
      </c>
      <c r="D2848" s="12" t="s">
        <v>3788</v>
      </c>
    </row>
    <row r="2849">
      <c r="A2849" s="5">
        <f>HYPERLINK("https://www.oit.va.gov/Services/TRM/ToolPage.aspx?tid=16380^","Symplr Provider (sProvider) On Premise")</f>
      </c>
      <c r="B2849" s="4" t="s">
        <v>1876</v>
      </c>
      <c r="C2849" s="9" t="s">
        <v>6</v>
      </c>
      <c r="D2849" s="12" t="s">
        <v>3789</v>
      </c>
    </row>
    <row r="2850">
      <c r="A2850" s="5">
        <f>HYPERLINK("https://www.oit.va.gov/Services/TRM/ToolPage.aspx?tid=13492^","SyncBackSE")</f>
      </c>
      <c r="B2850" s="4" t="s">
        <v>3790</v>
      </c>
      <c r="C2850" s="9" t="s">
        <v>6</v>
      </c>
      <c r="D2850" s="12" t="s">
        <v>391</v>
      </c>
    </row>
    <row r="2851">
      <c r="A2851" s="5">
        <f>HYPERLINK("https://www.oit.va.gov/Services/TRM/ToolPage.aspx?tid=14898^","Synkronizer")</f>
      </c>
      <c r="B2851" s="4" t="s">
        <v>3791</v>
      </c>
      <c r="C2851" s="9" t="s">
        <v>6</v>
      </c>
      <c r="D2851" s="12" t="s">
        <v>30</v>
      </c>
    </row>
    <row r="2852">
      <c r="A2852" s="5">
        <f>HYPERLINK("https://www.oit.va.gov/Services/TRM/ToolPage.aspx?tid=14690^","Syntelate XA")</f>
      </c>
      <c r="B2852" s="4" t="s">
        <v>3792</v>
      </c>
      <c r="C2852" s="9" t="s">
        <v>6</v>
      </c>
      <c r="D2852" s="12" t="s">
        <v>3793</v>
      </c>
    </row>
    <row r="2853">
      <c r="A2853" s="5">
        <f>HYPERLINK("https://www.oit.va.gov/Services/TRM/ToolPage.aspx?tid=16288^","Syslog Viewer (Monkey)")</f>
      </c>
      <c r="B2853" s="4" t="s">
        <v>3794</v>
      </c>
      <c r="C2853" s="9" t="s">
        <v>6</v>
      </c>
      <c r="D2853" s="12" t="s">
        <v>1939</v>
      </c>
    </row>
    <row r="2854">
      <c r="A2854" s="5">
        <f>HYPERLINK("https://www.oit.va.gov/Services/TRM/ToolPage.aspx?tid=12909^","System Galaxy")</f>
      </c>
      <c r="B2854" s="4" t="s">
        <v>3795</v>
      </c>
      <c r="C2854" s="9" t="s">
        <v>6</v>
      </c>
      <c r="D2854" s="12" t="s">
        <v>3796</v>
      </c>
    </row>
    <row r="2855">
      <c r="A2855" s="5">
        <f>HYPERLINK("https://www.oit.va.gov/Services/TRM/ToolPage.aspx?tid=8044^","t:connect Uploader")</f>
      </c>
      <c r="B2855" s="4" t="s">
        <v>3797</v>
      </c>
      <c r="C2855" s="9" t="s">
        <v>6</v>
      </c>
      <c r="D2855" s="12" t="s">
        <v>3798</v>
      </c>
    </row>
    <row r="2856">
      <c r="A2856" s="5">
        <f>HYPERLINK("https://www.oit.va.gov/Services/TRM/ToolPage.aspx?tid=6336^","Tableau Desktop")</f>
      </c>
      <c r="B2856" s="4" t="s">
        <v>704</v>
      </c>
      <c r="C2856" s="9" t="s">
        <v>6</v>
      </c>
      <c r="D2856" s="12" t="s">
        <v>3799</v>
      </c>
    </row>
    <row r="2857">
      <c r="A2857" s="5">
        <f>HYPERLINK("https://www.oit.va.gov/Services/TRM/ToolPage.aspx?tid=15046^","Tabular Editor")</f>
      </c>
      <c r="B2857" s="4" t="s">
        <v>3800</v>
      </c>
      <c r="C2857" s="9" t="s">
        <v>6</v>
      </c>
      <c r="D2857" s="12" t="s">
        <v>3801</v>
      </c>
    </row>
    <row r="2858">
      <c r="A2858" s="5">
        <f>HYPERLINK("https://www.oit.va.gov/Services/TRM/ToolPage.aspx?tid=14305^","Tachyon")</f>
      </c>
      <c r="B2858" s="4" t="s">
        <v>559</v>
      </c>
      <c r="C2858" s="9" t="s">
        <v>6</v>
      </c>
      <c r="D2858" s="12" t="s">
        <v>3802</v>
      </c>
    </row>
    <row r="2859">
      <c r="A2859" s="5">
        <f>HYPERLINK("https://www.oit.va.gov/Services/TRM/ToolPage.aspx?tid=16829^","Talend Data Catalog (TDC)")</f>
      </c>
      <c r="B2859" s="4" t="s">
        <v>3595</v>
      </c>
      <c r="C2859" s="9" t="s">
        <v>6</v>
      </c>
      <c r="D2859" s="12" t="s">
        <v>1390</v>
      </c>
    </row>
    <row r="2860">
      <c r="A2860" s="5">
        <f>HYPERLINK("https://www.oit.va.gov/Services/TRM/ToolPage.aspx?tid=15366^","Talend Data Fabric")</f>
      </c>
      <c r="B2860" s="4" t="s">
        <v>344</v>
      </c>
      <c r="C2860" s="9" t="s">
        <v>6</v>
      </c>
      <c r="D2860" s="12" t="s">
        <v>3803</v>
      </c>
    </row>
    <row r="2861">
      <c r="A2861" s="5">
        <f>HYPERLINK("https://www.oit.va.gov/Services/TRM/ToolPage.aspx?tid=11802^","Talend Data Management Platform")</f>
      </c>
      <c r="B2861" s="4" t="s">
        <v>3804</v>
      </c>
      <c r="C2861" s="9" t="s">
        <v>6</v>
      </c>
      <c r="D2861" s="12" t="s">
        <v>3805</v>
      </c>
    </row>
    <row r="2862">
      <c r="A2862" s="5">
        <f>HYPERLINK("https://www.oit.va.gov/Services/TRM/ToolPage.aspx?tid=15353^","Talend Open Studio for Big Data")</f>
      </c>
      <c r="B2862" s="4" t="s">
        <v>3804</v>
      </c>
      <c r="C2862" s="9" t="s">
        <v>6</v>
      </c>
      <c r="D2862" s="12" t="s">
        <v>3806</v>
      </c>
    </row>
    <row r="2863">
      <c r="A2863" s="5">
        <f>HYPERLINK("https://www.oit.va.gov/Services/TRM/ToolPage.aspx?tid=15502^","Talon Desktop Client")</f>
      </c>
      <c r="B2863" s="4" t="s">
        <v>3807</v>
      </c>
      <c r="C2863" s="9" t="s">
        <v>6</v>
      </c>
      <c r="D2863" s="12" t="s">
        <v>3808</v>
      </c>
    </row>
    <row r="2864">
      <c r="A2864" s="5">
        <f>HYPERLINK("https://www.oit.va.gov/Services/TRM/ToolPage.aspx?tid=16799^","Tango Reserve Data Management Utility (DMU)")</f>
      </c>
      <c r="B2864" s="4" t="s">
        <v>2637</v>
      </c>
      <c r="C2864" s="9" t="s">
        <v>6</v>
      </c>
      <c r="D2864" s="12" t="s">
        <v>3809</v>
      </c>
    </row>
    <row r="2865">
      <c r="A2865" s="5">
        <f>HYPERLINK("https://www.oit.va.gov/Services/TRM/ToolPage.aspx?tid=16775^","Taylor Signature Capture Application (SCA)")</f>
      </c>
      <c r="B2865" s="4" t="s">
        <v>1110</v>
      </c>
      <c r="C2865" s="9" t="s">
        <v>6</v>
      </c>
      <c r="D2865" s="12" t="s">
        <v>2022</v>
      </c>
    </row>
    <row r="2866">
      <c r="A2866" s="5">
        <f>HYPERLINK("https://www.oit.va.gov/Services/TRM/ToolPage.aspx?tid=14959^","TeamMate Analytics")</f>
      </c>
      <c r="B2866" s="4" t="s">
        <v>3810</v>
      </c>
      <c r="C2866" s="9" t="s">
        <v>6</v>
      </c>
      <c r="D2866" s="12" t="s">
        <v>1353</v>
      </c>
    </row>
    <row r="2867">
      <c r="A2867" s="5">
        <f>HYPERLINK("https://www.oit.va.gov/Services/TRM/ToolPage.aspx?tid=6388^","TeamMate Audit Management System")</f>
      </c>
      <c r="B2867" s="4" t="s">
        <v>3810</v>
      </c>
      <c r="C2867" s="9" t="s">
        <v>6</v>
      </c>
      <c r="D2867" s="12" t="s">
        <v>3210</v>
      </c>
    </row>
    <row r="2868">
      <c r="A2868" s="5">
        <f>HYPERLINK("https://www.oit.va.gov/Services/TRM/ToolPage.aspx?tid=15206^","TEG Manager")</f>
      </c>
      <c r="B2868" s="4" t="s">
        <v>831</v>
      </c>
      <c r="C2868" s="9" t="s">
        <v>6</v>
      </c>
      <c r="D2868" s="12" t="s">
        <v>2777</v>
      </c>
    </row>
    <row r="2869">
      <c r="A2869" s="5">
        <f>HYPERLINK("https://www.oit.va.gov/Services/TRM/ToolPage.aspx?tid=6154^","TeleForm")</f>
      </c>
      <c r="B2869" s="4" t="s">
        <v>651</v>
      </c>
      <c r="C2869" s="9" t="s">
        <v>6</v>
      </c>
      <c r="D2869" s="12" t="s">
        <v>3811</v>
      </c>
    </row>
    <row r="2870">
      <c r="A2870" s="5">
        <f>HYPERLINK("https://www.oit.va.gov/Services/TRM/ToolPage.aspx?tid=7205^","Telemate Predictive Unified Communications (UC) Analytics")</f>
      </c>
      <c r="B2870" s="4" t="s">
        <v>3812</v>
      </c>
      <c r="C2870" s="9" t="s">
        <v>6</v>
      </c>
      <c r="D2870" s="12" t="s">
        <v>3805</v>
      </c>
    </row>
    <row r="2871">
      <c r="A2871" s="5">
        <f>HYPERLINK("https://www.oit.va.gov/Services/TRM/ToolPage.aspx?tid=15713^","Telerik User Interface (UI) for Active Server Page (ASP).NET Model-View-Controller (MVC)")</f>
      </c>
      <c r="B2871" s="4" t="s">
        <v>241</v>
      </c>
      <c r="C2871" s="9" t="s">
        <v>6</v>
      </c>
      <c r="D2871" s="12" t="s">
        <v>3813</v>
      </c>
    </row>
    <row r="2872">
      <c r="A2872" s="5">
        <f>HYPERLINK("https://www.oit.va.gov/Services/TRM/ToolPage.aspx?tid=8040^","Telerik User Interface (UI) for Active Server Pages (ASP) .NET Asynchronous JavaScript and Extensible Markup Language (AJAX)")</f>
      </c>
      <c r="B2872" s="4" t="s">
        <v>241</v>
      </c>
      <c r="C2872" s="9" t="s">
        <v>6</v>
      </c>
      <c r="D2872" s="12" t="s">
        <v>3814</v>
      </c>
    </row>
    <row r="2873">
      <c r="A2873" s="5">
        <f>HYPERLINK("https://www.oit.va.gov/Services/TRM/ToolPage.aspx?tid=15725^","Telestream Aurora")</f>
      </c>
      <c r="B2873" s="4" t="s">
        <v>3815</v>
      </c>
      <c r="C2873" s="9" t="s">
        <v>6</v>
      </c>
      <c r="D2873" s="12" t="s">
        <v>244</v>
      </c>
    </row>
    <row r="2874">
      <c r="A2874" s="5">
        <f>HYPERLINK("https://www.oit.va.gov/Services/TRM/ToolPage.aspx?tid=10854^","TensorFlow")</f>
      </c>
      <c r="B2874" s="4" t="s">
        <v>3140</v>
      </c>
      <c r="C2874" s="9" t="s">
        <v>6</v>
      </c>
      <c r="D2874" s="12" t="s">
        <v>3816</v>
      </c>
    </row>
    <row r="2875">
      <c r="A2875" s="5">
        <f>HYPERLINK("https://www.oit.va.gov/Services/TRM/ToolPage.aspx?tid=15255^","TextExpander")</f>
      </c>
      <c r="B2875" s="4" t="s">
        <v>3817</v>
      </c>
      <c r="C2875" s="9" t="s">
        <v>6</v>
      </c>
      <c r="D2875" s="12" t="s">
        <v>3818</v>
      </c>
    </row>
    <row r="2876">
      <c r="A2876" s="5">
        <f>HYPERLINK("https://www.oit.va.gov/Services/TRM/ToolPage.aspx?tid=16608^","Thermo Fisher Oncomine Reporter (OKR)")</f>
      </c>
      <c r="B2876" s="4" t="s">
        <v>716</v>
      </c>
      <c r="C2876" s="9" t="s">
        <v>6</v>
      </c>
      <c r="D2876" s="12" t="s">
        <v>445</v>
      </c>
    </row>
    <row r="2877">
      <c r="A2877" s="5">
        <f>HYPERLINK("https://www.oit.va.gov/Services/TRM/ToolPage.aspx?tid=15938^","TIBCO Data Science Operations")</f>
      </c>
      <c r="B2877" s="4" t="s">
        <v>679</v>
      </c>
      <c r="C2877" s="9" t="s">
        <v>6</v>
      </c>
      <c r="D2877" s="12" t="s">
        <v>2621</v>
      </c>
    </row>
    <row r="2878">
      <c r="A2878" s="5">
        <f>HYPERLINK("https://www.oit.va.gov/Services/TRM/ToolPage.aspx?tid=15917^","TIBCO Omni-Gen Data Quality (DQ)")</f>
      </c>
      <c r="B2878" s="4" t="s">
        <v>679</v>
      </c>
      <c r="C2878" s="9" t="s">
        <v>6</v>
      </c>
      <c r="D2878" s="12" t="s">
        <v>2621</v>
      </c>
    </row>
    <row r="2879">
      <c r="A2879" s="5">
        <f>HYPERLINK("https://www.oit.va.gov/Services/TRM/ToolPage.aspx?tid=15924^","TIBCO Omni-HealthData")</f>
      </c>
      <c r="B2879" s="4" t="s">
        <v>679</v>
      </c>
      <c r="C2879" s="9" t="s">
        <v>6</v>
      </c>
      <c r="D2879" s="12" t="s">
        <v>2643</v>
      </c>
    </row>
    <row r="2880">
      <c r="A2880" s="5">
        <f>HYPERLINK("https://www.oit.va.gov/Services/TRM/ToolPage.aspx?tid=15940^","TIBCO Omni-HealthData Business Release")</f>
      </c>
      <c r="B2880" s="4" t="s">
        <v>679</v>
      </c>
      <c r="C2880" s="9" t="s">
        <v>6</v>
      </c>
      <c r="D2880" s="12" t="s">
        <v>2643</v>
      </c>
    </row>
    <row r="2881">
      <c r="A2881" s="5">
        <f>HYPERLINK("https://www.oit.va.gov/Services/TRM/ToolPage.aspx?tid=8441^","TIBCO Spotfire Advanced Data Services")</f>
      </c>
      <c r="B2881" s="4" t="s">
        <v>679</v>
      </c>
      <c r="C2881" s="9" t="s">
        <v>6</v>
      </c>
      <c r="D2881" s="12" t="s">
        <v>3819</v>
      </c>
    </row>
    <row r="2882">
      <c r="A2882" s="5">
        <f>HYPERLINK("https://www.oit.va.gov/Services/TRM/ToolPage.aspx?tid=8442^","TIBCO Spotfire Server")</f>
      </c>
      <c r="B2882" s="4" t="s">
        <v>679</v>
      </c>
      <c r="C2882" s="9" t="s">
        <v>6</v>
      </c>
      <c r="D2882" s="12" t="s">
        <v>3819</v>
      </c>
    </row>
    <row r="2883">
      <c r="A2883" s="5">
        <f>HYPERLINK("https://www.oit.va.gov/Services/TRM/ToolPage.aspx?tid=15999^","TIBCO Statistica")</f>
      </c>
      <c r="B2883" s="4" t="s">
        <v>679</v>
      </c>
      <c r="C2883" s="9" t="s">
        <v>6</v>
      </c>
      <c r="D2883" s="12" t="s">
        <v>3820</v>
      </c>
    </row>
    <row r="2884">
      <c r="A2884" s="5">
        <f>HYPERLINK("https://www.oit.va.gov/Services/TRM/ToolPage.aspx?tid=15994^","TIBCO Team Studio")</f>
      </c>
      <c r="B2884" s="4" t="s">
        <v>679</v>
      </c>
      <c r="C2884" s="9" t="s">
        <v>6</v>
      </c>
      <c r="D2884" s="12" t="s">
        <v>3820</v>
      </c>
    </row>
    <row r="2885">
      <c r="A2885" s="5">
        <f>HYPERLINK("https://www.oit.va.gov/Services/TRM/ToolPage.aspx?tid=8715^","Tick@Lab")</f>
      </c>
      <c r="B2885" s="4" t="s">
        <v>3821</v>
      </c>
      <c r="C2885" s="9" t="s">
        <v>6</v>
      </c>
      <c r="D2885" s="12" t="s">
        <v>3822</v>
      </c>
    </row>
    <row r="2886">
      <c r="A2886" s="5">
        <f>HYPERLINK("https://www.oit.va.gov/Services/TRM/ToolPage.aspx?tid=16526^","TiddlyWiki")</f>
      </c>
      <c r="B2886" s="4" t="s">
        <v>3823</v>
      </c>
      <c r="C2886" s="9" t="s">
        <v>6</v>
      </c>
      <c r="D2886" s="12" t="s">
        <v>3824</v>
      </c>
    </row>
    <row r="2887">
      <c r="A2887" s="5">
        <f>HYPERLINK("https://www.oit.va.gov/Services/TRM/ToolPage.aspx?tid=16724^","Tiger Software Suite 8")</f>
      </c>
      <c r="B2887" s="4" t="s">
        <v>3825</v>
      </c>
      <c r="C2887" s="9" t="s">
        <v>6</v>
      </c>
      <c r="D2887" s="12" t="s">
        <v>2945</v>
      </c>
    </row>
    <row r="2888">
      <c r="A2888" s="5">
        <f>HYPERLINK("https://www.oit.va.gov/Services/TRM/ToolPage.aspx?tid=14561^","TigerConnect")</f>
      </c>
      <c r="B2888" s="4" t="s">
        <v>3826</v>
      </c>
      <c r="C2888" s="9" t="s">
        <v>6</v>
      </c>
      <c r="D2888" s="12" t="s">
        <v>3371</v>
      </c>
    </row>
    <row r="2889">
      <c r="A2889" s="5">
        <f>HYPERLINK("https://www.oit.va.gov/Services/TRM/ToolPage.aspx?tid=7015^","TimeClock Plus Web Edition")</f>
      </c>
      <c r="B2889" s="4" t="s">
        <v>3827</v>
      </c>
      <c r="C2889" s="9" t="s">
        <v>6</v>
      </c>
      <c r="D2889" s="12" t="s">
        <v>3828</v>
      </c>
    </row>
    <row r="2890">
      <c r="A2890" s="5">
        <f>HYPERLINK("https://www.oit.va.gov/Services/TRM/ToolPage.aspx?tid=11730^","Timeline Explorer (EZ Tools)")</f>
      </c>
      <c r="B2890" s="4" t="s">
        <v>2656</v>
      </c>
      <c r="C2890" s="9" t="s">
        <v>6</v>
      </c>
      <c r="D2890" s="12" t="s">
        <v>3829</v>
      </c>
    </row>
    <row r="2891">
      <c r="A2891" s="5">
        <f>HYPERLINK("https://www.oit.va.gov/Services/TRM/ToolPage.aspx?tid=16553^","Titan Secure File Transfer Protocol (SFTP) Server - High Availability (HA)")</f>
      </c>
      <c r="B2891" s="4" t="s">
        <v>2907</v>
      </c>
      <c r="C2891" s="9" t="s">
        <v>6</v>
      </c>
      <c r="D2891" s="12" t="s">
        <v>3830</v>
      </c>
    </row>
    <row r="2892">
      <c r="A2892" s="5">
        <f>HYPERLINK("https://www.oit.va.gov/Services/TRM/ToolPage.aspx?tid=6510^","Tivoli Monitoring")</f>
      </c>
      <c r="B2892" s="4" t="s">
        <v>233</v>
      </c>
      <c r="C2892" s="9" t="s">
        <v>6</v>
      </c>
      <c r="D2892" s="12" t="s">
        <v>3831</v>
      </c>
    </row>
    <row r="2893">
      <c r="A2893" s="5">
        <f>HYPERLINK("https://www.oit.va.gov/Services/TRM/ToolPage.aspx?tid=10057^","TMSComm")</f>
      </c>
      <c r="B2893" s="4" t="s">
        <v>3832</v>
      </c>
      <c r="C2893" s="9" t="s">
        <v>6</v>
      </c>
      <c r="D2893" s="12" t="s">
        <v>3833</v>
      </c>
    </row>
    <row r="2894">
      <c r="A2894" s="5">
        <f>HYPERLINK("https://www.oit.va.gov/Services/TRM/ToolPage.aspx?tid=15722^","Toad Edge")</f>
      </c>
      <c r="B2894" s="4" t="s">
        <v>357</v>
      </c>
      <c r="C2894" s="9" t="s">
        <v>6</v>
      </c>
      <c r="D2894" s="12" t="s">
        <v>3834</v>
      </c>
    </row>
    <row r="2895">
      <c r="A2895" s="5">
        <f>HYPERLINK("https://www.oit.va.gov/Services/TRM/ToolPage.aspx?tid=16524^","TomTom API")</f>
      </c>
      <c r="B2895" s="4" t="s">
        <v>3835</v>
      </c>
      <c r="C2895" s="9" t="s">
        <v>6</v>
      </c>
      <c r="D2895" s="12" t="s">
        <v>3836</v>
      </c>
    </row>
    <row r="2896">
      <c r="A2896" s="5">
        <f>HYPERLINK("https://www.oit.va.gov/Services/TRM/ToolPage.aspx?tid=6382^","Tool for Oracle Application Developers (TOAD) for Oracle")</f>
      </c>
      <c r="B2896" s="4" t="s">
        <v>357</v>
      </c>
      <c r="C2896" s="9" t="s">
        <v>6</v>
      </c>
      <c r="D2896" s="12" t="s">
        <v>3837</v>
      </c>
    </row>
    <row r="2897">
      <c r="A2897" s="5">
        <f>HYPERLINK("https://www.oit.va.gov/Services/TRM/ToolPage.aspx?tid=9334^","Total Recall Records Management")</f>
      </c>
      <c r="B2897" s="4" t="s">
        <v>3838</v>
      </c>
      <c r="C2897" s="9" t="s">
        <v>6</v>
      </c>
      <c r="D2897" s="12" t="s">
        <v>319</v>
      </c>
    </row>
    <row r="2898">
      <c r="A2898" s="5">
        <f>HYPERLINK("https://www.oit.va.gov/Services/TRM/ToolPage.aspx?tid=11693^","TouchGraph Navigator")</f>
      </c>
      <c r="B2898" s="4" t="s">
        <v>3839</v>
      </c>
      <c r="C2898" s="9" t="s">
        <v>6</v>
      </c>
      <c r="D2898" s="12" t="s">
        <v>3840</v>
      </c>
    </row>
    <row r="2899">
      <c r="A2899" s="5">
        <f>HYPERLINK("https://www.oit.va.gov/Services/TRM/ToolPage.aspx?tid=16562^","Tracer Summit")</f>
      </c>
      <c r="B2899" s="4" t="s">
        <v>318</v>
      </c>
      <c r="C2899" s="9" t="s">
        <v>6</v>
      </c>
      <c r="D2899" s="12" t="s">
        <v>3497</v>
      </c>
    </row>
    <row r="2900">
      <c r="A2900" s="5">
        <f>HYPERLINK("https://www.oit.va.gov/Services/TRM/ToolPage.aspx?tid=9200^","TrackCore Operating Room")</f>
      </c>
      <c r="B2900" s="4" t="s">
        <v>3841</v>
      </c>
      <c r="C2900" s="9" t="s">
        <v>6</v>
      </c>
      <c r="D2900" s="12" t="s">
        <v>3842</v>
      </c>
    </row>
    <row r="2901">
      <c r="A2901" s="5">
        <f>HYPERLINK("https://www.oit.va.gov/Services/TRM/ToolPage.aspx?tid=11732^","TrakaWEB")</f>
      </c>
      <c r="B2901" s="4" t="s">
        <v>3843</v>
      </c>
      <c r="C2901" s="9" t="s">
        <v>6</v>
      </c>
      <c r="D2901" s="12" t="s">
        <v>119</v>
      </c>
    </row>
    <row r="2902">
      <c r="A2902" s="5">
        <f>HYPERLINK("https://www.oit.va.gov/Services/TRM/ToolPage.aspx?tid=15757^","TRANE TRACE 3-Dimension (3D) Plus")</f>
      </c>
      <c r="B2902" s="4" t="s">
        <v>318</v>
      </c>
      <c r="C2902" s="9" t="s">
        <v>6</v>
      </c>
      <c r="D2902" s="12" t="s">
        <v>3844</v>
      </c>
    </row>
    <row r="2903">
      <c r="A2903" s="5">
        <f>HYPERLINK("https://www.oit.va.gov/Services/TRM/ToolPage.aspx?tid=7281^","Transmission of Imaging and Data (TRIAD)")</f>
      </c>
      <c r="B2903" s="4" t="s">
        <v>3845</v>
      </c>
      <c r="C2903" s="9" t="s">
        <v>6</v>
      </c>
      <c r="D2903" s="12" t="s">
        <v>3846</v>
      </c>
    </row>
    <row r="2904">
      <c r="A2904" s="5">
        <f>HYPERLINK("https://www.oit.va.gov/Services/TRM/ToolPage.aspx?tid=9005^","TraumaCad Server")</f>
      </c>
      <c r="B2904" s="4" t="s">
        <v>2773</v>
      </c>
      <c r="C2904" s="9" t="s">
        <v>6</v>
      </c>
      <c r="D2904" s="12" t="s">
        <v>3847</v>
      </c>
    </row>
    <row r="2905">
      <c r="A2905" s="5">
        <f>HYPERLINK("https://www.oit.va.gov/Services/TRM/ToolPage.aspx?tid=7355^","Trellix Electronic Policy Orchestrator (ePO)")</f>
      </c>
      <c r="B2905" s="4" t="s">
        <v>954</v>
      </c>
      <c r="C2905" s="9" t="s">
        <v>6</v>
      </c>
      <c r="D2905" s="12" t="s">
        <v>629</v>
      </c>
    </row>
    <row r="2906">
      <c r="A2906" s="5">
        <f>HYPERLINK("https://www.oit.va.gov/Services/TRM/ToolPage.aspx?tid=16085^","Trellix Health Watch Tool")</f>
      </c>
      <c r="B2906" s="4" t="s">
        <v>954</v>
      </c>
      <c r="C2906" s="9" t="s">
        <v>6</v>
      </c>
      <c r="D2906" s="12" t="s">
        <v>3848</v>
      </c>
    </row>
    <row r="2907">
      <c r="A2907" s="5">
        <f>HYPERLINK("https://www.oit.va.gov/Services/TRM/ToolPage.aspx?tid=5647^","Trellix Intrusion Prevention System")</f>
      </c>
      <c r="B2907" s="4" t="s">
        <v>954</v>
      </c>
      <c r="C2907" s="9" t="s">
        <v>6</v>
      </c>
      <c r="D2907" s="12" t="s">
        <v>3849</v>
      </c>
    </row>
    <row r="2908">
      <c r="A2908" s="5">
        <f>HYPERLINK("https://www.oit.va.gov/Services/TRM/ToolPage.aspx?tid=14150^","Trello")</f>
      </c>
      <c r="B2908" s="4" t="s">
        <v>829</v>
      </c>
      <c r="C2908" s="9" t="s">
        <v>6</v>
      </c>
      <c r="D2908" s="12" t="s">
        <v>3850</v>
      </c>
    </row>
    <row r="2909">
      <c r="A2909" s="5">
        <f>HYPERLINK("https://www.oit.va.gov/Services/TRM/ToolPage.aspx?tid=6779^","T-REX")</f>
      </c>
      <c r="B2909" s="4" t="s">
        <v>3851</v>
      </c>
      <c r="C2909" s="9" t="s">
        <v>6</v>
      </c>
      <c r="D2909" s="12" t="s">
        <v>488</v>
      </c>
    </row>
    <row r="2910">
      <c r="A2910" s="5">
        <f>HYPERLINK("https://www.oit.va.gov/Services/TRM/ToolPage.aspx?tid=16360^","Tricentis Test Automation (TTA) Pro")</f>
      </c>
      <c r="B2910" s="4" t="s">
        <v>3852</v>
      </c>
      <c r="C2910" s="9" t="s">
        <v>6</v>
      </c>
      <c r="D2910" s="12" t="s">
        <v>3309</v>
      </c>
    </row>
    <row r="2911">
      <c r="A2911" s="5">
        <f>HYPERLINK("https://www.oit.va.gov/Services/TRM/ToolPage.aspx?tid=15064^","Tricentis Tosca")</f>
      </c>
      <c r="B2911" s="4" t="s">
        <v>3852</v>
      </c>
      <c r="C2911" s="9" t="s">
        <v>6</v>
      </c>
      <c r="D2911" s="12" t="s">
        <v>3853</v>
      </c>
    </row>
    <row r="2912">
      <c r="A2912" s="5">
        <f>HYPERLINK("https://www.oit.va.gov/Services/TRM/ToolPage.aspx?tid=16705^","TruNarc Admin Application")</f>
      </c>
      <c r="B2912" s="4" t="s">
        <v>716</v>
      </c>
      <c r="C2912" s="9" t="s">
        <v>6</v>
      </c>
      <c r="D2912" s="12" t="s">
        <v>3854</v>
      </c>
    </row>
    <row r="2913">
      <c r="A2913" s="5">
        <f>HYPERLINK("https://www.oit.va.gov/Services/TRM/ToolPage.aspx?tid=15946^","Trusteer Rapport")</f>
      </c>
      <c r="B2913" s="4" t="s">
        <v>233</v>
      </c>
      <c r="C2913" s="9" t="s">
        <v>6</v>
      </c>
      <c r="D2913" s="12" t="s">
        <v>3855</v>
      </c>
    </row>
    <row r="2914">
      <c r="A2914" s="5">
        <f>HYPERLINK("https://www.oit.va.gov/Services/TRM/ToolPage.aspx?tid=5679^","Tungsten Automation Power PDF")</f>
      </c>
      <c r="B2914" s="4" t="s">
        <v>3483</v>
      </c>
      <c r="C2914" s="9" t="s">
        <v>6</v>
      </c>
      <c r="D2914" s="12" t="s">
        <v>3856</v>
      </c>
    </row>
    <row r="2915">
      <c r="A2915" s="5">
        <f>HYPERLINK("https://www.oit.va.gov/Services/TRM/ToolPage.aspx?tid=7132^","Turbonomic")</f>
      </c>
      <c r="B2915" s="4" t="s">
        <v>504</v>
      </c>
      <c r="C2915" s="9" t="s">
        <v>6</v>
      </c>
      <c r="D2915" s="12" t="s">
        <v>3857</v>
      </c>
    </row>
    <row r="2916">
      <c r="A2916" s="5">
        <f>HYPERLINK("https://www.oit.va.gov/Services/TRM/ToolPage.aspx?tid=16792^","Turbot Guardrails")</f>
      </c>
      <c r="B2916" s="4" t="s">
        <v>3858</v>
      </c>
      <c r="C2916" s="9" t="s">
        <v>6</v>
      </c>
      <c r="D2916" s="12" t="s">
        <v>2592</v>
      </c>
    </row>
    <row r="2917">
      <c r="A2917" s="5">
        <f>HYPERLINK("https://www.oit.va.gov/Services/TRM/ToolPage.aspx?tid=13329^","TwinCat 3")</f>
      </c>
      <c r="B2917" s="4" t="s">
        <v>3859</v>
      </c>
      <c r="C2917" s="9" t="s">
        <v>6</v>
      </c>
      <c r="D2917" s="12" t="s">
        <v>3860</v>
      </c>
    </row>
    <row r="2918">
      <c r="A2918" s="5">
        <f>HYPERLINK("https://www.oit.va.gov/Services/TRM/ToolPage.aspx?tid=8511^","UC for Enterprise (UCE) Interactive Voice Response (IVR)")</f>
      </c>
      <c r="B2918" s="4" t="s">
        <v>3324</v>
      </c>
      <c r="C2918" s="9" t="s">
        <v>6</v>
      </c>
      <c r="D2918" s="12" t="s">
        <v>3861</v>
      </c>
    </row>
    <row r="2919">
      <c r="A2919" s="5">
        <f>HYPERLINK("https://www.oit.va.gov/Services/TRM/ToolPage.aspx?tid=12925^","UiPATH")</f>
      </c>
      <c r="B2919" s="4" t="s">
        <v>449</v>
      </c>
      <c r="C2919" s="9" t="s">
        <v>6</v>
      </c>
      <c r="D2919" s="12" t="s">
        <v>3291</v>
      </c>
    </row>
    <row r="2920">
      <c r="A2920" s="5">
        <f>HYPERLINK("https://www.oit.va.gov/Services/TRM/ToolPage.aspx?tid=16289^","UiPath Automation Platform")</f>
      </c>
      <c r="B2920" s="4" t="s">
        <v>449</v>
      </c>
      <c r="C2920" s="9" t="s">
        <v>6</v>
      </c>
      <c r="D2920" s="12" t="s">
        <v>3862</v>
      </c>
    </row>
    <row r="2921">
      <c r="A2921" s="5">
        <f>HYPERLINK("https://www.oit.va.gov/Services/TRM/ToolPage.aspx?tid=6618^","UModel")</f>
      </c>
      <c r="B2921" s="4" t="s">
        <v>973</v>
      </c>
      <c r="C2921" s="9" t="s">
        <v>6</v>
      </c>
      <c r="D2921" s="12" t="s">
        <v>3863</v>
      </c>
    </row>
    <row r="2922">
      <c r="A2922" s="5">
        <f>HYPERLINK("https://www.oit.va.gov/Services/TRM/ToolPage.aspx?tid=6724^","UNICOM Focal Point")</f>
      </c>
      <c r="B2922" s="4" t="s">
        <v>714</v>
      </c>
      <c r="C2922" s="9" t="s">
        <v>6</v>
      </c>
      <c r="D2922" s="12" t="s">
        <v>3864</v>
      </c>
    </row>
    <row r="2923">
      <c r="A2923" s="5">
        <f>HYPERLINK("https://www.oit.va.gov/Services/TRM/ToolPage.aspx?tid=9940^","Unified Communications (UC) Manager")</f>
      </c>
      <c r="B2923" s="4" t="s">
        <v>3324</v>
      </c>
      <c r="C2923" s="9" t="s">
        <v>6</v>
      </c>
      <c r="D2923" s="12" t="s">
        <v>3865</v>
      </c>
    </row>
    <row r="2924">
      <c r="A2924" s="5">
        <f>HYPERLINK("https://www.oit.va.gov/Services/TRM/ToolPage.aspx?tid=10448^","Unified Communications Emergency On-Site Notification (UC E-OSN)")</f>
      </c>
      <c r="B2924" s="4" t="s">
        <v>3324</v>
      </c>
      <c r="C2924" s="9" t="s">
        <v>6</v>
      </c>
      <c r="D2924" s="12" t="s">
        <v>319</v>
      </c>
    </row>
    <row r="2925">
      <c r="A2925" s="5">
        <f>HYPERLINK("https://www.oit.va.gov/Services/TRM/ToolPage.aspx?tid=11471^","uniFLOW")</f>
      </c>
      <c r="B2925" s="4" t="s">
        <v>1108</v>
      </c>
      <c r="C2925" s="9" t="s">
        <v>6</v>
      </c>
      <c r="D2925" s="12" t="s">
        <v>3866</v>
      </c>
    </row>
    <row r="2926">
      <c r="A2926" s="5">
        <f>HYPERLINK("https://www.oit.va.gov/Services/TRM/ToolPage.aspx?tid=10082^","Unique Device Identification (UDI) Tracker")</f>
      </c>
      <c r="B2926" s="4" t="s">
        <v>3867</v>
      </c>
      <c r="C2926" s="9" t="s">
        <v>6</v>
      </c>
      <c r="D2926" s="12" t="s">
        <v>2344</v>
      </c>
    </row>
    <row r="2927">
      <c r="A2927" s="5">
        <f>HYPERLINK("https://www.oit.va.gov/Services/TRM/ToolPage.aspx?tid=10506^","Unisphere for PowerMax")</f>
      </c>
      <c r="B2927" s="4" t="s">
        <v>185</v>
      </c>
      <c r="C2927" s="9" t="s">
        <v>6</v>
      </c>
      <c r="D2927" s="12" t="s">
        <v>3868</v>
      </c>
    </row>
    <row r="2928">
      <c r="A2928" s="5">
        <f>HYPERLINK("https://www.oit.va.gov/Services/TRM/ToolPage.aspx?tid=11466^","United Parcel Service (UPS) CrossWare")</f>
      </c>
      <c r="B2928" s="4" t="s">
        <v>2440</v>
      </c>
      <c r="C2928" s="9" t="s">
        <v>6</v>
      </c>
      <c r="D2928" s="12" t="s">
        <v>1553</v>
      </c>
    </row>
    <row r="2929">
      <c r="A2929" s="5">
        <f>HYPERLINK("https://www.oit.va.gov/Services/TRM/ToolPage.aspx?tid=16028^","United Parcel Service (UPS) Thermal Printing")</f>
      </c>
      <c r="B2929" s="4" t="s">
        <v>2440</v>
      </c>
      <c r="C2929" s="9" t="s">
        <v>6</v>
      </c>
      <c r="D2929" s="12" t="s">
        <v>3869</v>
      </c>
    </row>
    <row r="2930">
      <c r="A2930" s="5">
        <f>HYPERLINK("https://www.oit.va.gov/Services/TRM/ToolPage.aspx?tid=5743^","United Parcel Service (UPS) WorldShip")</f>
      </c>
      <c r="B2930" s="4" t="s">
        <v>2440</v>
      </c>
      <c r="C2930" s="9" t="s">
        <v>6</v>
      </c>
      <c r="D2930" s="12" t="s">
        <v>3870</v>
      </c>
    </row>
    <row r="2931">
      <c r="A2931" s="5">
        <f>HYPERLINK("https://www.oit.va.gov/Services/TRM/ToolPage.aspx?tid=7018^","Unity")</f>
      </c>
      <c r="B2931" s="4" t="s">
        <v>3871</v>
      </c>
      <c r="C2931" s="9" t="s">
        <v>6</v>
      </c>
      <c r="D2931" s="12" t="s">
        <v>3872</v>
      </c>
    </row>
    <row r="2932">
      <c r="A2932" s="5">
        <f>HYPERLINK("https://www.oit.va.gov/Services/TRM/ToolPage.aspx?tid=7407^","Unity Engine")</f>
      </c>
      <c r="B2932" s="4" t="s">
        <v>3873</v>
      </c>
      <c r="C2932" s="9" t="s">
        <v>6</v>
      </c>
      <c r="D2932" s="12" t="s">
        <v>3874</v>
      </c>
    </row>
    <row r="2933">
      <c r="A2933" s="5">
        <f>HYPERLINK("https://www.oit.va.gov/Services/TRM/ToolPage.aspx?tid=12948^","Universal Type Server / Universal Type Client")</f>
      </c>
      <c r="B2933" s="4" t="s">
        <v>3554</v>
      </c>
      <c r="C2933" s="9" t="s">
        <v>6</v>
      </c>
      <c r="D2933" s="12" t="s">
        <v>240</v>
      </c>
    </row>
    <row r="2934">
      <c r="A2934" s="5">
        <f>HYPERLINK("https://www.oit.va.gov/Services/TRM/ToolPage.aspx?tid=12887^","Useful Field of View (UFOV)")</f>
      </c>
      <c r="B2934" s="4" t="s">
        <v>3875</v>
      </c>
      <c r="C2934" s="9" t="s">
        <v>6</v>
      </c>
      <c r="D2934" s="12" t="s">
        <v>1485</v>
      </c>
    </row>
    <row r="2935">
      <c r="A2935" s="5">
        <f>HYPERLINK("https://www.oit.va.gov/Services/TRM/ToolPage.aspx?tid=11292^","Value Package Introduction (VPI) Empower")</f>
      </c>
      <c r="B2935" s="4" t="s">
        <v>1803</v>
      </c>
      <c r="C2935" s="9" t="s">
        <v>6</v>
      </c>
      <c r="D2935" s="12" t="s">
        <v>3876</v>
      </c>
    </row>
    <row r="2936">
      <c r="A2936" s="5">
        <f>HYPERLINK("https://www.oit.va.gov/Services/TRM/ToolPage.aspx?tid=9053^","Vantage Point")</f>
      </c>
      <c r="B2936" s="4" t="s">
        <v>3877</v>
      </c>
      <c r="C2936" s="9" t="s">
        <v>6</v>
      </c>
      <c r="D2936" s="12" t="s">
        <v>3546</v>
      </c>
    </row>
    <row r="2937">
      <c r="A2937" s="5">
        <f>HYPERLINK("https://www.oit.va.gov/Services/TRM/ToolPage.aspx?tid=7438^","Variphy Insight Enterprise Edition")</f>
      </c>
      <c r="B2937" s="4" t="s">
        <v>3878</v>
      </c>
      <c r="C2937" s="9" t="s">
        <v>6</v>
      </c>
      <c r="D2937" s="12" t="s">
        <v>3118</v>
      </c>
    </row>
    <row r="2938">
      <c r="A2938" s="5">
        <f>HYPERLINK("https://www.oit.va.gov/Services/TRM/ToolPage.aspx?tid=15771^","Vascular Imager High-Definition (HD)")</f>
      </c>
      <c r="B2938" s="4" t="s">
        <v>3879</v>
      </c>
      <c r="C2938" s="9" t="s">
        <v>6</v>
      </c>
      <c r="D2938" s="12" t="s">
        <v>3880</v>
      </c>
    </row>
    <row r="2939">
      <c r="A2939" s="5">
        <f>HYPERLINK("https://www.oit.va.gov/Services/TRM/ToolPage.aspx?tid=15697^","Vascular Research Tools 6 Brachial Analyzer for Research")</f>
      </c>
      <c r="B2939" s="4" t="s">
        <v>3879</v>
      </c>
      <c r="C2939" s="9" t="s">
        <v>6</v>
      </c>
      <c r="D2939" s="12" t="s">
        <v>3881</v>
      </c>
    </row>
    <row r="2940">
      <c r="A2940" s="5">
        <f>HYPERLINK("https://www.oit.va.gov/Services/TRM/ToolPage.aspx?tid=16476^","VascuPro")</f>
      </c>
      <c r="B2940" s="4" t="s">
        <v>1594</v>
      </c>
      <c r="C2940" s="9" t="s">
        <v>6</v>
      </c>
      <c r="D2940" s="12" t="s">
        <v>1289</v>
      </c>
    </row>
    <row r="2941">
      <c r="A2941" s="5">
        <f>HYPERLINK("https://www.oit.va.gov/Services/TRM/ToolPage.aspx?tid=6569^","Vecna VA Patient Self Service Solution")</f>
      </c>
      <c r="B2941" s="4" t="s">
        <v>3882</v>
      </c>
      <c r="C2941" s="9" t="s">
        <v>6</v>
      </c>
      <c r="D2941" s="12" t="s">
        <v>3883</v>
      </c>
    </row>
    <row r="2942">
      <c r="A2942" s="5">
        <f>HYPERLINK("https://www.oit.va.gov/Services/TRM/ToolPage.aspx?tid=16492^","Vector")</f>
      </c>
      <c r="B2942" s="4" t="s">
        <v>2934</v>
      </c>
      <c r="C2942" s="9" t="s">
        <v>6</v>
      </c>
      <c r="D2942" s="12" t="s">
        <v>3884</v>
      </c>
    </row>
    <row r="2943">
      <c r="A2943" s="5">
        <f>HYPERLINK("https://www.oit.va.gov/Services/TRM/ToolPage.aspx?tid=6621^","Veeam Backup &amp; Replication")</f>
      </c>
      <c r="B2943" s="4" t="s">
        <v>3885</v>
      </c>
      <c r="C2943" s="9" t="s">
        <v>6</v>
      </c>
      <c r="D2943" s="12" t="s">
        <v>3886</v>
      </c>
    </row>
    <row r="2944">
      <c r="A2944" s="5">
        <f>HYPERLINK("https://www.oit.va.gov/Services/TRM/ToolPage.aspx?tid=5993^","Velocity")</f>
      </c>
      <c r="B2944" s="4" t="s">
        <v>3887</v>
      </c>
      <c r="C2944" s="9" t="s">
        <v>6</v>
      </c>
      <c r="D2944" s="12" t="s">
        <v>3888</v>
      </c>
    </row>
    <row r="2945">
      <c r="A2945" s="5">
        <f>HYPERLINK("https://www.oit.va.gov/Services/TRM/ToolPage.aspx?tid=15418^","VenturiOne")</f>
      </c>
      <c r="B2945" s="4" t="s">
        <v>3889</v>
      </c>
      <c r="C2945" s="9" t="s">
        <v>6</v>
      </c>
      <c r="D2945" s="12" t="s">
        <v>3420</v>
      </c>
    </row>
    <row r="2946">
      <c r="A2946" s="5">
        <f>HYPERLINK("https://www.oit.va.gov/Services/TRM/ToolPage.aspx?tid=15146^","Venus Control Suite")</f>
      </c>
      <c r="B2946" s="4" t="s">
        <v>1692</v>
      </c>
      <c r="C2946" s="9" t="s">
        <v>6</v>
      </c>
      <c r="D2946" s="12" t="s">
        <v>3890</v>
      </c>
    </row>
    <row r="2947">
      <c r="A2947" s="5">
        <f>HYPERLINK("https://www.oit.va.gov/Services/TRM/ToolPage.aspx?tid=16372^","Verdaccio")</f>
      </c>
      <c r="B2947" s="4" t="s">
        <v>3891</v>
      </c>
      <c r="C2947" s="9" t="s">
        <v>6</v>
      </c>
      <c r="D2947" s="12" t="s">
        <v>3892</v>
      </c>
    </row>
    <row r="2948">
      <c r="A2948" s="5">
        <f>HYPERLINK("https://www.oit.va.gov/Services/TRM/ToolPage.aspx?tid=16563^","Verifone Unified Drivers")</f>
      </c>
      <c r="B2948" s="4" t="s">
        <v>3893</v>
      </c>
      <c r="C2948" s="9" t="s">
        <v>6</v>
      </c>
      <c r="D2948" s="12" t="s">
        <v>3497</v>
      </c>
    </row>
    <row r="2949">
      <c r="A2949" s="5">
        <f>HYPERLINK("https://www.oit.va.gov/Services/TRM/ToolPage.aspx?tid=9844^","Verint Enterprise Feedback Management (EFM)")</f>
      </c>
      <c r="B2949" s="4" t="s">
        <v>3209</v>
      </c>
      <c r="C2949" s="9" t="s">
        <v>6</v>
      </c>
      <c r="D2949" s="12" t="s">
        <v>2314</v>
      </c>
    </row>
    <row r="2950">
      <c r="A2950" s="5">
        <f>HYPERLINK("https://www.oit.va.gov/Services/TRM/ToolPage.aspx?tid=13080^","Veritas Information Studio")</f>
      </c>
      <c r="B2950" s="4" t="s">
        <v>2736</v>
      </c>
      <c r="C2950" s="9" t="s">
        <v>6</v>
      </c>
      <c r="D2950" s="12" t="s">
        <v>3894</v>
      </c>
    </row>
    <row r="2951">
      <c r="A2951" s="5">
        <f>HYPERLINK("https://www.oit.va.gov/Services/TRM/ToolPage.aspx?tid=5449^","Veritas InfoScale Storage")</f>
      </c>
      <c r="B2951" s="4" t="s">
        <v>2736</v>
      </c>
      <c r="C2951" s="9" t="s">
        <v>6</v>
      </c>
      <c r="D2951" s="12" t="s">
        <v>3895</v>
      </c>
    </row>
    <row r="2952">
      <c r="A2952" s="5">
        <f>HYPERLINK("https://www.oit.va.gov/Services/TRM/ToolPage.aspx?tid=13235^","Veritas NetBackup OpsCenter")</f>
      </c>
      <c r="B2952" s="4" t="s">
        <v>2736</v>
      </c>
      <c r="C2952" s="9" t="s">
        <v>6</v>
      </c>
      <c r="D2952" s="12" t="s">
        <v>3896</v>
      </c>
    </row>
    <row r="2953">
      <c r="A2953" s="5">
        <f>HYPERLINK("https://www.oit.va.gov/Services/TRM/ToolPage.aspx?tid=14804^","Vertiv Power Insight")</f>
      </c>
      <c r="B2953" s="4" t="s">
        <v>3897</v>
      </c>
      <c r="C2953" s="9" t="s">
        <v>6</v>
      </c>
      <c r="D2953" s="12" t="s">
        <v>3898</v>
      </c>
    </row>
    <row r="2954">
      <c r="A2954" s="5">
        <f>HYPERLINK("https://www.oit.va.gov/Services/TRM/ToolPage.aspx?tid=13819^","Vicon Nexus")</f>
      </c>
      <c r="B2954" s="4" t="s">
        <v>3899</v>
      </c>
      <c r="C2954" s="9" t="s">
        <v>6</v>
      </c>
      <c r="D2954" s="12" t="s">
        <v>97</v>
      </c>
    </row>
    <row r="2955">
      <c r="A2955" s="5">
        <f>HYPERLINK("https://www.oit.va.gov/Services/TRM/ToolPage.aspx?tid=8304^","victor Unified Client")</f>
      </c>
      <c r="B2955" s="4" t="s">
        <v>1598</v>
      </c>
      <c r="C2955" s="9" t="s">
        <v>6</v>
      </c>
      <c r="D2955" s="12" t="s">
        <v>3900</v>
      </c>
    </row>
    <row r="2956">
      <c r="A2956" s="5">
        <f>HYPERLINK("https://www.oit.va.gov/Services/TRM/ToolPage.aspx?tid=16677^","VictoriaMetrics")</f>
      </c>
      <c r="B2956" s="4" t="s">
        <v>3901</v>
      </c>
      <c r="C2956" s="9" t="s">
        <v>6</v>
      </c>
      <c r="D2956" s="12" t="s">
        <v>3902</v>
      </c>
    </row>
    <row r="2957">
      <c r="A2957" s="5">
        <f>HYPERLINK("https://www.oit.va.gov/Services/TRM/ToolPage.aspx?tid=15313^","VidyoWeb")</f>
      </c>
      <c r="B2957" s="4" t="s">
        <v>3903</v>
      </c>
      <c r="C2957" s="9" t="s">
        <v>6</v>
      </c>
      <c r="D2957" s="12" t="s">
        <v>3904</v>
      </c>
    </row>
    <row r="2958">
      <c r="A2958" s="5">
        <f>HYPERLINK("https://www.oit.va.gov/Services/TRM/ToolPage.aspx?tid=15234^","viewLinc Enterprise Server")</f>
      </c>
      <c r="B2958" s="4" t="s">
        <v>3905</v>
      </c>
      <c r="C2958" s="9" t="s">
        <v>6</v>
      </c>
      <c r="D2958" s="12" t="s">
        <v>3906</v>
      </c>
    </row>
    <row r="2959">
      <c r="A2959" s="5">
        <f>HYPERLINK("https://www.oit.va.gov/Services/TRM/ToolPage.aspx?tid=15322^","ViewNX-i")</f>
      </c>
      <c r="B2959" s="4" t="s">
        <v>394</v>
      </c>
      <c r="C2959" s="9" t="s">
        <v>6</v>
      </c>
      <c r="D2959" s="12" t="s">
        <v>3904</v>
      </c>
    </row>
    <row r="2960">
      <c r="A2960" s="5">
        <f>HYPERLINK("https://www.oit.va.gov/Services/TRM/ToolPage.aspx?tid=15027^","Visioneer Acuity")</f>
      </c>
      <c r="B2960" s="4" t="s">
        <v>3907</v>
      </c>
      <c r="C2960" s="9" t="s">
        <v>6</v>
      </c>
      <c r="D2960" s="12" t="s">
        <v>3908</v>
      </c>
    </row>
    <row r="2961">
      <c r="A2961" s="5">
        <f>HYPERLINK("https://www.oit.va.gov/Services/TRM/ToolPage.aspx?tid=16023^","Visioneer Network Scan Service")</f>
      </c>
      <c r="B2961" s="4" t="s">
        <v>3907</v>
      </c>
      <c r="C2961" s="9" t="s">
        <v>6</v>
      </c>
      <c r="D2961" s="12" t="s">
        <v>3909</v>
      </c>
    </row>
    <row r="2962">
      <c r="A2962" s="5">
        <f>HYPERLINK("https://www.oit.va.gov/Services/TRM/ToolPage.aspx?tid=15532^","VistA Integration Reporting and Revenue (VIRR)")</f>
      </c>
      <c r="B2962" s="4" t="s">
        <v>3910</v>
      </c>
      <c r="C2962" s="9" t="s">
        <v>6</v>
      </c>
      <c r="D2962" s="12" t="s">
        <v>321</v>
      </c>
    </row>
    <row r="2963">
      <c r="A2963" s="5">
        <f>HYPERLINK("https://www.oit.va.gov/Services/TRM/ToolPage.aspx?tid=15173^","Visual Lighting")</f>
      </c>
      <c r="B2963" s="4" t="s">
        <v>3911</v>
      </c>
      <c r="C2963" s="9" t="s">
        <v>6</v>
      </c>
      <c r="D2963" s="12" t="s">
        <v>3828</v>
      </c>
    </row>
    <row r="2964">
      <c r="A2964" s="5">
        <f>HYPERLINK("https://www.oit.va.gov/Services/TRM/ToolPage.aspx?tid=16507^","VISUSCOUT 100 SYNC")</f>
      </c>
      <c r="B2964" s="4" t="s">
        <v>3912</v>
      </c>
      <c r="C2964" s="9" t="s">
        <v>6</v>
      </c>
      <c r="D2964" s="12" t="s">
        <v>2802</v>
      </c>
    </row>
    <row r="2965">
      <c r="A2965" s="5">
        <f>HYPERLINK("https://www.oit.va.gov/Services/TRM/ToolPage.aspx?tid=16514^","ViTel Net Cloud Imaging")</f>
      </c>
      <c r="B2965" s="4" t="s">
        <v>3913</v>
      </c>
      <c r="C2965" s="9" t="s">
        <v>6</v>
      </c>
      <c r="D2965" s="12" t="s">
        <v>2985</v>
      </c>
    </row>
    <row r="2966">
      <c r="A2966" s="5">
        <f>HYPERLINK("https://www.oit.va.gov/Services/TRM/ToolPage.aspx?tid=9012^","VLogic Facility Management (VLogicFM)")</f>
      </c>
      <c r="B2966" s="4" t="s">
        <v>3914</v>
      </c>
      <c r="C2966" s="9" t="s">
        <v>6</v>
      </c>
      <c r="D2966" s="12" t="s">
        <v>944</v>
      </c>
    </row>
    <row r="2967">
      <c r="A2967" s="5">
        <f>HYPERLINK("https://www.oit.va.gov/Services/TRM/ToolPage.aspx?tid=8477^","VMware Aria Operations")</f>
      </c>
      <c r="B2967" s="4" t="s">
        <v>719</v>
      </c>
      <c r="C2967" s="9" t="s">
        <v>6</v>
      </c>
      <c r="D2967" s="12" t="s">
        <v>1295</v>
      </c>
    </row>
    <row r="2968">
      <c r="A2968" s="5">
        <f>HYPERLINK("https://www.oit.va.gov/Services/TRM/ToolPage.aspx?tid=10266^","VMWare Horizon Client")</f>
      </c>
      <c r="B2968" s="4" t="s">
        <v>719</v>
      </c>
      <c r="C2968" s="9" t="s">
        <v>6</v>
      </c>
      <c r="D2968" s="12" t="s">
        <v>3915</v>
      </c>
    </row>
    <row r="2969">
      <c r="A2969" s="5">
        <f>HYPERLINK("https://www.oit.va.gov/Services/TRM/ToolPage.aspx?tid=5482^","VMware Site Recovery Manager (SRM)")</f>
      </c>
      <c r="B2969" s="4" t="s">
        <v>719</v>
      </c>
      <c r="C2969" s="9" t="s">
        <v>6</v>
      </c>
      <c r="D2969" s="12" t="s">
        <v>3916</v>
      </c>
    </row>
    <row r="2970">
      <c r="A2970" s="5">
        <f>HYPERLINK("https://www.oit.va.gov/Services/TRM/ToolPage.aspx?tid=15459^","VMware WorkSpace ONE Access")</f>
      </c>
      <c r="B2970" s="4" t="s">
        <v>719</v>
      </c>
      <c r="C2970" s="9" t="s">
        <v>6</v>
      </c>
      <c r="D2970" s="12" t="s">
        <v>823</v>
      </c>
    </row>
    <row r="2971">
      <c r="A2971" s="5">
        <f>HYPERLINK("https://www.oit.va.gov/Services/TRM/ToolPage.aspx?tid=15383^","Voalte Platform")</f>
      </c>
      <c r="B2971" s="4" t="s">
        <v>561</v>
      </c>
      <c r="C2971" s="9" t="s">
        <v>6</v>
      </c>
      <c r="D2971" s="12" t="s">
        <v>3917</v>
      </c>
    </row>
    <row r="2972">
      <c r="A2972" s="5">
        <f>HYPERLINK("https://www.oit.va.gov/Services/TRM/ToolPage.aspx?tid=15779^","Vocera Messaging Platform (VMP)")</f>
      </c>
      <c r="B2972" s="4" t="s">
        <v>908</v>
      </c>
      <c r="C2972" s="9" t="s">
        <v>6</v>
      </c>
      <c r="D2972" s="12" t="s">
        <v>455</v>
      </c>
    </row>
    <row r="2973">
      <c r="A2973" s="5">
        <f>HYPERLINK("https://www.oit.va.gov/Services/TRM/ToolPage.aspx?tid=14133^","VoiceComputer")</f>
      </c>
      <c r="B2973" s="4" t="s">
        <v>3918</v>
      </c>
      <c r="C2973" s="9" t="s">
        <v>6</v>
      </c>
      <c r="D2973" s="12" t="s">
        <v>3919</v>
      </c>
    </row>
    <row r="2974">
      <c r="A2974" s="5">
        <f>HYPERLINK("https://www.oit.va.gov/Services/TRM/ToolPage.aspx?tid=16314^","VoiceOver Enterprise.")</f>
      </c>
      <c r="B2974" s="4" t="s">
        <v>1612</v>
      </c>
      <c r="C2974" s="9" t="s">
        <v>6</v>
      </c>
      <c r="D2974" s="12" t="s">
        <v>3920</v>
      </c>
    </row>
    <row r="2975">
      <c r="A2975" s="5">
        <f>HYPERLINK("https://www.oit.va.gov/Services/TRM/ToolPage.aspx?tid=15652^","Volk Pictor Prestige Studio")</f>
      </c>
      <c r="B2975" s="4" t="s">
        <v>3921</v>
      </c>
      <c r="C2975" s="9" t="s">
        <v>6</v>
      </c>
      <c r="D2975" s="12" t="s">
        <v>3922</v>
      </c>
    </row>
    <row r="2976">
      <c r="A2976" s="5">
        <f>HYPERLINK("https://www.oit.va.gov/Services/TRM/ToolPage.aspx?tid=15292^","Vonage Desktop Application")</f>
      </c>
      <c r="B2976" s="4" t="s">
        <v>3923</v>
      </c>
      <c r="C2976" s="9" t="s">
        <v>6</v>
      </c>
      <c r="D2976" s="12" t="s">
        <v>3924</v>
      </c>
    </row>
    <row r="2977">
      <c r="A2977" s="5">
        <f>HYPERLINK("https://www.oit.va.gov/Services/TRM/ToolPage.aspx?tid=6931^","VPSX Enterprise")</f>
      </c>
      <c r="B2977" s="4" t="s">
        <v>3925</v>
      </c>
      <c r="C2977" s="9" t="s">
        <v>6</v>
      </c>
      <c r="D2977" s="12" t="s">
        <v>1575</v>
      </c>
    </row>
    <row r="2978">
      <c r="A2978" s="5">
        <f>HYPERLINK("https://www.oit.va.gov/Services/TRM/ToolPage.aspx?tid=15555^","Vue Devtools")</f>
      </c>
      <c r="B2978" s="4" t="s">
        <v>3926</v>
      </c>
      <c r="C2978" s="9" t="s">
        <v>6</v>
      </c>
      <c r="D2978" s="12" t="s">
        <v>2022</v>
      </c>
    </row>
    <row r="2979">
      <c r="A2979" s="5">
        <f>HYPERLINK("https://www.oit.va.gov/Services/TRM/ToolPage.aspx?tid=6930^","Vyopta vAnalytics")</f>
      </c>
      <c r="B2979" s="4" t="s">
        <v>3927</v>
      </c>
      <c r="C2979" s="9" t="s">
        <v>6</v>
      </c>
      <c r="D2979" s="12" t="s">
        <v>3856</v>
      </c>
    </row>
    <row r="2980">
      <c r="A2980" s="5">
        <f>HYPERLINK("https://www.oit.va.gov/Services/TRM/ToolPage.aspx?tid=6446^","Web Accessibility Toolbar")</f>
      </c>
      <c r="B2980" s="4" t="s">
        <v>3928</v>
      </c>
      <c r="C2980" s="9" t="s">
        <v>6</v>
      </c>
      <c r="D2980" s="12" t="s">
        <v>41</v>
      </c>
    </row>
    <row r="2981">
      <c r="A2981" s="5">
        <f>HYPERLINK("https://www.oit.va.gov/Services/TRM/ToolPage.aspx?tid=15420^","Web Emergency Operations Center (WebEOC)")</f>
      </c>
      <c r="B2981" s="4" t="s">
        <v>3929</v>
      </c>
      <c r="C2981" s="9" t="s">
        <v>6</v>
      </c>
      <c r="D2981" s="12" t="s">
        <v>1009</v>
      </c>
    </row>
    <row r="2982">
      <c r="A2982" s="5">
        <f>HYPERLINK("https://www.oit.va.gov/Services/TRM/ToolPage.aspx?tid=9214^","WebCtrl")</f>
      </c>
      <c r="B2982" s="4" t="s">
        <v>3930</v>
      </c>
      <c r="C2982" s="9" t="s">
        <v>6</v>
      </c>
      <c r="D2982" s="12" t="s">
        <v>3849</v>
      </c>
    </row>
    <row r="2983">
      <c r="A2983" s="5">
        <f>HYPERLINK("https://www.oit.va.gov/Services/TRM/ToolPage.aspx?tid=5906^","Webex Meetings, Events and Training Client")</f>
      </c>
      <c r="B2983" s="4" t="s">
        <v>353</v>
      </c>
      <c r="C2983" s="9" t="s">
        <v>6</v>
      </c>
      <c r="D2983" s="12" t="s">
        <v>32</v>
      </c>
    </row>
    <row r="2984">
      <c r="A2984" s="5">
        <f>HYPERLINK("https://www.oit.va.gov/Services/TRM/ToolPage.aspx?tid=7^","WebLogic Server")</f>
      </c>
      <c r="B2984" s="4" t="s">
        <v>136</v>
      </c>
      <c r="C2984" s="9" t="s">
        <v>6</v>
      </c>
      <c r="D2984" s="12" t="s">
        <v>3145</v>
      </c>
    </row>
    <row r="2985">
      <c r="A2985" s="5">
        <f>HYPERLINK("https://www.oit.va.gov/Services/TRM/ToolPage.aspx?tid=16823^","Webpack")</f>
      </c>
      <c r="B2985" s="4" t="s">
        <v>3931</v>
      </c>
      <c r="C2985" s="9" t="s">
        <v>6</v>
      </c>
      <c r="D2985" s="12" t="s">
        <v>17</v>
      </c>
    </row>
    <row r="2986">
      <c r="A2986" s="5">
        <f>HYPERLINK("https://www.oit.va.gov/Services/TRM/ToolPage.aspx?tid=8260^","webTA (Time and Attendance)")</f>
      </c>
      <c r="B2986" s="4" t="s">
        <v>3144</v>
      </c>
      <c r="C2986" s="9" t="s">
        <v>6</v>
      </c>
      <c r="D2986" s="12" t="s">
        <v>3932</v>
      </c>
    </row>
    <row r="2987">
      <c r="A2987" s="5">
        <f>HYPERLINK("https://www.oit.va.gov/Services/TRM/ToolPage.aspx?tid=15376^","Wellbase")</f>
      </c>
      <c r="B2987" s="4" t="s">
        <v>3933</v>
      </c>
      <c r="C2987" s="9" t="s">
        <v>6</v>
      </c>
      <c r="D2987" s="12" t="s">
        <v>3934</v>
      </c>
    </row>
    <row r="2988">
      <c r="A2988" s="5">
        <f>HYPERLINK("https://www.oit.va.gov/Services/TRM/ToolPage.aspx?tid=6290^","Wellspring for Technology Transfer")</f>
      </c>
      <c r="B2988" s="4" t="s">
        <v>3935</v>
      </c>
      <c r="C2988" s="9" t="s">
        <v>6</v>
      </c>
      <c r="D2988" s="12" t="s">
        <v>82</v>
      </c>
    </row>
    <row r="2989">
      <c r="A2989" s="5">
        <f>HYPERLINK("https://www.oit.va.gov/Services/TRM/ToolPage.aspx?tid=13778^","WesVar")</f>
      </c>
      <c r="B2989" s="4" t="s">
        <v>3936</v>
      </c>
      <c r="C2989" s="9" t="s">
        <v>6</v>
      </c>
      <c r="D2989" s="12" t="s">
        <v>961</v>
      </c>
    </row>
    <row r="2990">
      <c r="A2990" s="5">
        <f>HYPERLINK("https://www.oit.va.gov/Services/TRM/ToolPage.aspx?tid=7022^","WhatsUp Gold")</f>
      </c>
      <c r="B2990" s="4" t="s">
        <v>444</v>
      </c>
      <c r="C2990" s="9" t="s">
        <v>6</v>
      </c>
      <c r="D2990" s="12" t="s">
        <v>3937</v>
      </c>
    </row>
    <row r="2991">
      <c r="A2991" s="5">
        <f>HYPERLINK("https://www.oit.va.gov/Services/TRM/ToolPage.aspx?tid=8465^","Wild Divine")</f>
      </c>
      <c r="B2991" s="4" t="s">
        <v>3938</v>
      </c>
      <c r="C2991" s="9" t="s">
        <v>6</v>
      </c>
      <c r="D2991" s="12" t="s">
        <v>3939</v>
      </c>
    </row>
    <row r="2992">
      <c r="A2992" s="5">
        <f>HYPERLINK("https://www.oit.va.gov/Services/TRM/ToolPage.aspx?tid=15048^","Win-911")</f>
      </c>
      <c r="B2992" s="4" t="s">
        <v>3940</v>
      </c>
      <c r="C2992" s="9" t="s">
        <v>6</v>
      </c>
      <c r="D2992" s="12" t="s">
        <v>3828</v>
      </c>
    </row>
    <row r="2993">
      <c r="A2993" s="5">
        <f>HYPERLINK("https://www.oit.va.gov/Services/TRM/ToolPage.aspx?tid=14977^","Windows 10 Timeline database parser (WxTCmd) (EZ Tools)")</f>
      </c>
      <c r="B2993" s="4" t="s">
        <v>2656</v>
      </c>
      <c r="C2993" s="9" t="s">
        <v>6</v>
      </c>
      <c r="D2993" s="12" t="s">
        <v>3829</v>
      </c>
    </row>
    <row r="2994">
      <c r="A2994" s="5">
        <f>HYPERLINK("https://www.oit.va.gov/Services/TRM/ToolPage.aspx?tid=14619^","WinEst")</f>
      </c>
      <c r="B2994" s="4" t="s">
        <v>3702</v>
      </c>
      <c r="C2994" s="9" t="s">
        <v>6</v>
      </c>
      <c r="D2994" s="12" t="s">
        <v>358</v>
      </c>
    </row>
    <row r="2995">
      <c r="A2995" s="5">
        <f>HYPERLINK("https://www.oit.va.gov/Services/TRM/ToolPage.aspx?tid=6536^","Wisconsin Card Sorting Test (WCST)")</f>
      </c>
      <c r="B2995" s="4" t="s">
        <v>2954</v>
      </c>
      <c r="C2995" s="9" t="s">
        <v>6</v>
      </c>
      <c r="D2995" s="12" t="s">
        <v>3941</v>
      </c>
    </row>
    <row r="2996">
      <c r="A2996" s="5">
        <f>HYPERLINK("https://www.oit.va.gov/Services/TRM/ToolPage.aspx?tid=16604^","Workflow Orchestrator")</f>
      </c>
      <c r="B2996" s="4" t="s">
        <v>342</v>
      </c>
      <c r="C2996" s="9" t="s">
        <v>6</v>
      </c>
      <c r="D2996" s="12" t="s">
        <v>3942</v>
      </c>
    </row>
    <row r="2997">
      <c r="A2997" s="5">
        <f>HYPERLINK("https://www.oit.va.gov/Services/TRM/ToolPage.aspx?tid=16025^","Workload Automation System Agent (WASA)")</f>
      </c>
      <c r="B2997" s="4" t="s">
        <v>347</v>
      </c>
      <c r="C2997" s="9" t="s">
        <v>6</v>
      </c>
      <c r="D2997" s="12" t="s">
        <v>1381</v>
      </c>
    </row>
    <row r="2998">
      <c r="A2998" s="5">
        <f>HYPERLINK("https://www.oit.va.gov/Services/TRM/ToolPage.aspx?tid=15736^","Workplace Applications Audiometric Surveillance Software Module")</f>
      </c>
      <c r="B2998" s="4" t="s">
        <v>1093</v>
      </c>
      <c r="C2998" s="9" t="s">
        <v>6</v>
      </c>
      <c r="D2998" s="12" t="s">
        <v>1639</v>
      </c>
    </row>
    <row r="2999">
      <c r="A2999" s="5">
        <f>HYPERLINK("https://www.oit.va.gov/Services/TRM/ToolPage.aspx?tid=16411^","Workspace One Assist")</f>
      </c>
      <c r="B2999" s="4" t="s">
        <v>719</v>
      </c>
      <c r="C2999" s="9" t="s">
        <v>6</v>
      </c>
      <c r="D2999" s="12" t="s">
        <v>298</v>
      </c>
    </row>
    <row r="3000">
      <c r="A3000" s="5">
        <f>HYPERLINK("https://www.oit.va.gov/Services/TRM/ToolPage.aspx?tid=15454^","WorkSpace ONE Intelligent Hub")</f>
      </c>
      <c r="B3000" s="4" t="s">
        <v>719</v>
      </c>
      <c r="C3000" s="9" t="s">
        <v>6</v>
      </c>
      <c r="D3000" s="12" t="s">
        <v>3895</v>
      </c>
    </row>
    <row r="3001">
      <c r="A3001" s="5">
        <f>HYPERLINK("https://www.oit.va.gov/Services/TRM/ToolPage.aspx?tid=15729^","World Health Organization (WHONET)")</f>
      </c>
      <c r="B3001" s="4" t="s">
        <v>3943</v>
      </c>
      <c r="C3001" s="9" t="s">
        <v>6</v>
      </c>
      <c r="D3001" s="12" t="s">
        <v>2669</v>
      </c>
    </row>
    <row r="3002">
      <c r="A3002" s="5">
        <f>HYPERLINK("https://www.oit.va.gov/Services/TRM/ToolPage.aspx?tid=8480^","Wowza Streaming Engine")</f>
      </c>
      <c r="B3002" s="4" t="s">
        <v>3944</v>
      </c>
      <c r="C3002" s="9" t="s">
        <v>6</v>
      </c>
      <c r="D3002" s="12" t="s">
        <v>2833</v>
      </c>
    </row>
    <row r="3003">
      <c r="A3003" s="5">
        <f>HYPERLINK("https://www.oit.va.gov/Services/TRM/ToolPage.aspx?tid=10880^","Xeleris")</f>
      </c>
      <c r="B3003" s="4" t="s">
        <v>874</v>
      </c>
      <c r="C3003" s="9" t="s">
        <v>6</v>
      </c>
      <c r="D3003" s="12" t="s">
        <v>3945</v>
      </c>
    </row>
    <row r="3004">
      <c r="A3004" s="5">
        <f>HYPERLINK("https://www.oit.va.gov/Services/TRM/ToolPage.aspx?tid=11452^","Xenu`s Link Sleuth")</f>
      </c>
      <c r="B3004" s="4" t="s">
        <v>3946</v>
      </c>
      <c r="C3004" s="9" t="s">
        <v>6</v>
      </c>
      <c r="D3004" s="12" t="s">
        <v>3947</v>
      </c>
    </row>
    <row r="3005">
      <c r="A3005" s="5">
        <f>HYPERLINK("https://www.oit.va.gov/Services/TRM/ToolPage.aspx?tid=10153^","Xerox Device Manager")</f>
      </c>
      <c r="B3005" s="4" t="s">
        <v>1635</v>
      </c>
      <c r="C3005" s="9" t="s">
        <v>6</v>
      </c>
      <c r="D3005" s="12" t="s">
        <v>52</v>
      </c>
    </row>
    <row r="3006">
      <c r="A3006" s="5">
        <f>HYPERLINK("https://www.oit.va.gov/Services/TRM/ToolPage.aspx?tid=15672^","Xerox FreeFlow Core")</f>
      </c>
      <c r="B3006" s="4" t="s">
        <v>1635</v>
      </c>
      <c r="C3006" s="9" t="s">
        <v>6</v>
      </c>
      <c r="D3006" s="12" t="s">
        <v>3948</v>
      </c>
    </row>
    <row r="3007">
      <c r="A3007" s="5">
        <f>HYPERLINK("https://www.oit.va.gov/Services/TRM/ToolPage.aspx?tid=15335^","Xerox FreeFlow MakeReady")</f>
      </c>
      <c r="B3007" s="4" t="s">
        <v>1635</v>
      </c>
      <c r="C3007" s="9" t="s">
        <v>6</v>
      </c>
      <c r="D3007" s="12" t="s">
        <v>1749</v>
      </c>
    </row>
    <row r="3008">
      <c r="A3008" s="5">
        <f>HYPERLINK("https://www.oit.va.gov/Services/TRM/ToolPage.aspx?tid=15968^","XNAT")</f>
      </c>
      <c r="B3008" s="4" t="s">
        <v>3949</v>
      </c>
      <c r="C3008" s="9" t="s">
        <v>6</v>
      </c>
      <c r="D3008" s="12" t="s">
        <v>3950</v>
      </c>
    </row>
    <row r="3009">
      <c r="A3009" s="5">
        <f>HYPERLINK("https://www.oit.va.gov/Services/TRM/ToolPage.aspx?tid=13126^","XPanel")</f>
      </c>
      <c r="B3009" s="4" t="s">
        <v>2639</v>
      </c>
      <c r="C3009" s="9" t="s">
        <v>6</v>
      </c>
      <c r="D3009" s="12" t="s">
        <v>3951</v>
      </c>
    </row>
    <row r="3010">
      <c r="A3010" s="5">
        <f>HYPERLINK("https://www.oit.va.gov/Services/TRM/ToolPage.aspx?tid=7934^","Xper Information Management")</f>
      </c>
      <c r="B3010" s="4" t="s">
        <v>919</v>
      </c>
      <c r="C3010" s="9" t="s">
        <v>6</v>
      </c>
      <c r="D3010" s="12" t="s">
        <v>3660</v>
      </c>
    </row>
    <row r="3011">
      <c r="A3011" s="5">
        <f>HYPERLINK("https://www.oit.va.gov/Services/TRM/ToolPage.aspx?tid=6190^","XpoLog Center")</f>
      </c>
      <c r="B3011" s="4" t="s">
        <v>3952</v>
      </c>
      <c r="C3011" s="9" t="s">
        <v>6</v>
      </c>
      <c r="D3011" s="12" t="s">
        <v>3953</v>
      </c>
    </row>
    <row r="3012">
      <c r="A3012" s="5">
        <f>HYPERLINK("https://www.oit.va.gov/Services/TRM/ToolPage.aspx?tid=10337^","X-Soft")</f>
      </c>
      <c r="B3012" s="4" t="s">
        <v>1183</v>
      </c>
      <c r="C3012" s="9" t="s">
        <v>6</v>
      </c>
      <c r="D3012" s="12" t="s">
        <v>3954</v>
      </c>
    </row>
    <row r="3013">
      <c r="A3013" s="5">
        <f>HYPERLINK("https://www.oit.va.gov/Services/TRM/ToolPage.aspx?tid=7248^","Xtraction")</f>
      </c>
      <c r="B3013" s="4" t="s">
        <v>2042</v>
      </c>
      <c r="C3013" s="9" t="s">
        <v>6</v>
      </c>
      <c r="D3013" s="12" t="s">
        <v>283</v>
      </c>
    </row>
    <row r="3014">
      <c r="A3014" s="5">
        <f>HYPERLINK("https://www.oit.va.gov/Services/TRM/ToolPage.aspx?tid=15877^","Yarn")</f>
      </c>
      <c r="B3014" s="4" t="s">
        <v>3955</v>
      </c>
      <c r="C3014" s="9" t="s">
        <v>6</v>
      </c>
      <c r="D3014" s="12" t="s">
        <v>1095</v>
      </c>
    </row>
    <row r="3015">
      <c r="A3015" s="5">
        <f>HYPERLINK("https://www.oit.va.gov/Services/TRM/ToolPage.aspx?tid=16686^","Yet Another Forum (YAF)")</f>
      </c>
      <c r="B3015" s="4" t="s">
        <v>3956</v>
      </c>
      <c r="C3015" s="9" t="s">
        <v>6</v>
      </c>
      <c r="D3015" s="12" t="s">
        <v>3957</v>
      </c>
    </row>
    <row r="3016">
      <c r="A3016" s="5">
        <f>HYPERLINK("https://www.oit.va.gov/Services/TRM/ToolPage.aspx?tid=14293^","Zebra Browser Print")</f>
      </c>
      <c r="B3016" s="4" t="s">
        <v>1637</v>
      </c>
      <c r="C3016" s="9" t="s">
        <v>6</v>
      </c>
      <c r="D3016" s="12" t="s">
        <v>328</v>
      </c>
    </row>
    <row r="3017">
      <c r="A3017" s="5">
        <f>HYPERLINK("https://www.oit.va.gov/Services/TRM/ToolPage.aspx?tid=16282^","Zebra MotionWorks")</f>
      </c>
      <c r="B3017" s="4" t="s">
        <v>1637</v>
      </c>
      <c r="C3017" s="9" t="s">
        <v>6</v>
      </c>
      <c r="D3017" s="12" t="s">
        <v>3958</v>
      </c>
    </row>
    <row r="3018">
      <c r="A3018" s="5">
        <f>HYPERLINK("https://www.oit.va.gov/Services/TRM/ToolPage.aspx?tid=15219^","ZebraDesigner for Developers")</f>
      </c>
      <c r="B3018" s="4" t="s">
        <v>3959</v>
      </c>
      <c r="C3018" s="9" t="s">
        <v>6</v>
      </c>
      <c r="D3018" s="12" t="s">
        <v>3960</v>
      </c>
    </row>
    <row r="3019">
      <c r="A3019" s="5">
        <f>HYPERLINK("https://www.oit.va.gov/Services/TRM/ToolPage.aspx?tid=15692^","Zeto Hybrid Solution")</f>
      </c>
      <c r="B3019" s="4" t="s">
        <v>3961</v>
      </c>
      <c r="C3019" s="9" t="s">
        <v>6</v>
      </c>
      <c r="D3019" s="12" t="s">
        <v>3962</v>
      </c>
    </row>
    <row r="3020">
      <c r="A3020" s="5">
        <f>HYPERLINK("https://www.oit.va.gov/Services/TRM/ToolPage.aspx?tid=15694^","ZKBioAccess")</f>
      </c>
      <c r="B3020" s="4" t="s">
        <v>3963</v>
      </c>
      <c r="C3020" s="9" t="s">
        <v>6</v>
      </c>
      <c r="D3020" s="12" t="s">
        <v>3964</v>
      </c>
    </row>
    <row r="3021">
      <c r="A3021" s="5">
        <f>HYPERLINK("https://www.oit.va.gov/Services/TRM/ToolPage.aspx?tid=7542^","Zotero")</f>
      </c>
      <c r="B3021" s="4" t="s">
        <v>3965</v>
      </c>
      <c r="C3021" s="9" t="s">
        <v>6</v>
      </c>
      <c r="D3021" s="12" t="s">
        <v>3966</v>
      </c>
    </row>
    <row r="3022">
      <c r="A3022" s="5">
        <f>HYPERLINK("https://www.oit.va.gov/Services/TRM/ToolPage.aspx?tid=13273^","ZXing.NET")</f>
      </c>
      <c r="B3022" s="4" t="s">
        <v>3967</v>
      </c>
      <c r="C3022" s="9" t="s">
        <v>6</v>
      </c>
      <c r="D3022" s="12" t="s">
        <v>3968</v>
      </c>
    </row>
    <row r="3023">
      <c r="A3023" s="5">
        <f>HYPERLINK("https://www.oit.va.gov/Services/TRM/ToolPage.aspx?tid=7776^","zzzPAT")</f>
      </c>
      <c r="B3023" s="4" t="s">
        <v>1946</v>
      </c>
      <c r="C3023" s="9" t="s">
        <v>6</v>
      </c>
      <c r="D3023" s="12" t="s">
        <v>3969</v>
      </c>
    </row>
    <row r="3024">
      <c r="A3024" s="5">
        <f>HYPERLINK("https://www.oit.va.gov/Services/TRM/ToolPage.aspx?tid=16807^","AutoRabit CodeScan for Visual Studio (VS) Code Plugin")</f>
      </c>
      <c r="B3024" s="4" t="s">
        <v>3970</v>
      </c>
      <c r="C3024" s="9" t="s">
        <v>6</v>
      </c>
      <c r="D3024" s="12" t="s">
        <v>1139</v>
      </c>
    </row>
    <row r="3025">
      <c r="A3025" s="5">
        <f>HYPERLINK("https://www.oit.va.gov/Services/TRM/ToolPage.aspx?tid=11664^","Insight Management Web-based Enterprise Management (WBEM) Providers")</f>
      </c>
      <c r="B3025" s="4" t="s">
        <v>2013</v>
      </c>
      <c r="C3025" s="9" t="s">
        <v>6</v>
      </c>
      <c r="D3025" s="12" t="s">
        <v>3971</v>
      </c>
    </row>
    <row r="3026">
      <c r="A3026" s="5">
        <f>HYPERLINK("https://www.oit.va.gov/Services/TRM/VAStandardPage.aspx?tid=8928^","VA .NET Programming Standard")</f>
      </c>
      <c r="B3026" s="4" t="s">
        <v>3972</v>
      </c>
      <c r="C3026" s="9" t="s">
        <v>6</v>
      </c>
      <c r="D3026" s="12" t="s">
        <v>723</v>
      </c>
    </row>
    <row r="3027">
      <c r="A3027" s="5">
        <f>HYPERLINK("https://www.oit.va.gov/Services/TRM/ToolPage.aspx?tid=15743^","AutoSPRINK Revit (RVT)")</f>
      </c>
      <c r="B3027" s="4" t="s">
        <v>3973</v>
      </c>
      <c r="C3027" s="9" t="s">
        <v>6</v>
      </c>
      <c r="D3027" s="12" t="s">
        <v>3974</v>
      </c>
    </row>
    <row r="3028">
      <c r="A3028" s="5">
        <f>HYPERLINK("https://www.oit.va.gov/Services/TRM/ToolPage.aspx?tid=11665^","Evoluent Mouse Manager")</f>
      </c>
      <c r="B3028" s="4" t="s">
        <v>3975</v>
      </c>
      <c r="C3028" s="9" t="s">
        <v>6</v>
      </c>
      <c r="D3028" s="12" t="s">
        <v>3976</v>
      </c>
    </row>
    <row r="3029">
      <c r="A3029" s="5">
        <f>HYPERLINK("https://www.oit.va.gov/Services/TRM/ToolPage.aspx?tid=16447^","Hewlett Packard (HP) Cloud Recovery Tool")</f>
      </c>
      <c r="B3029" s="4" t="s">
        <v>302</v>
      </c>
      <c r="C3029" s="9" t="s">
        <v>6</v>
      </c>
      <c r="D3029" s="12" t="s">
        <v>3977</v>
      </c>
    </row>
    <row r="3030">
      <c r="A3030" s="5">
        <f>HYPERLINK("https://www.oit.va.gov/Services/TRM/ToolPage.aspx?tid=15551^","Hewlett Packard (HP) Smart")</f>
      </c>
      <c r="B3030" s="4" t="s">
        <v>302</v>
      </c>
      <c r="C3030" s="9" t="s">
        <v>6</v>
      </c>
      <c r="D3030" s="12" t="s">
        <v>3978</v>
      </c>
    </row>
    <row r="3031">
      <c r="A3031" s="5">
        <f>HYPERLINK("https://www.oit.va.gov/Services/TRM/ToolPage.aspx?tid=16214^","ImageQuant TL")</f>
      </c>
      <c r="B3031" s="4" t="s">
        <v>1585</v>
      </c>
      <c r="C3031" s="9" t="s">
        <v>6</v>
      </c>
      <c r="D3031" s="12" t="s">
        <v>3979</v>
      </c>
    </row>
    <row r="3032">
      <c r="A3032" s="5">
        <f>HYPERLINK("https://www.oit.va.gov/Services/TRM/StandardPage.aspx?tid=6449^","Kerberos Network Authentication Service")</f>
      </c>
      <c r="B3032" s="4" t="s">
        <v>405</v>
      </c>
      <c r="C3032" s="9" t="s">
        <v>6</v>
      </c>
      <c r="D3032" s="12" t="s">
        <v>3980</v>
      </c>
    </row>
    <row r="3033">
      <c r="A3033" s="5">
        <f>HYPERLINK("https://www.oit.va.gov/Services/TRM/ToolPage.aspx?tid=14897^","PODMAN")</f>
      </c>
      <c r="B3033" s="4" t="s">
        <v>3981</v>
      </c>
      <c r="C3033" s="9" t="s">
        <v>6</v>
      </c>
      <c r="D3033" s="12" t="s">
        <v>3982</v>
      </c>
    </row>
  </sheetData>
  <mergeCells>
    <mergeCell ref="A1:D1"/>
  </mergeCells>
  <headerFooter/>
</worksheet>
</file>