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rafael_richards_va_gov/Documents/Downloads/"/>
    </mc:Choice>
  </mc:AlternateContent>
  <xr:revisionPtr revIDLastSave="3" documentId="11_9BD7D762D438E532F5A1B70205832444512B4F6A" xr6:coauthVersionLast="47" xr6:coauthVersionMax="47" xr10:uidLastSave="{EB0DF173-5BB1-40CD-88CD-CFDA18D639AC}"/>
  <bookViews>
    <workbookView xWindow="-120" yWindow="-120" windowWidth="20670" windowHeight="15570" xr2:uid="{00000000-000D-0000-FFFF-FFFF00000000}"/>
  </bookViews>
  <sheets>
    <sheet name="TRM_Search_Result" sheetId="1" r:id="rId1"/>
  </sheets>
  <definedNames>
    <definedName name="_xlnm._FilterDatabase" localSheetId="0" hidden="1">TRM_Search_Result!$A$1:$D$8587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5" i="1" l="1"/>
  <c r="A5458" i="1"/>
  <c r="A5457" i="1"/>
  <c r="A5456" i="1"/>
  <c r="A5301" i="1"/>
  <c r="A2668" i="1"/>
  <c r="A6465" i="1"/>
  <c r="A1678" i="1"/>
  <c r="A8555" i="1"/>
  <c r="A8551" i="1"/>
  <c r="A3376" i="1"/>
  <c r="A8549" i="1"/>
  <c r="A8529" i="1"/>
  <c r="A8567" i="1"/>
  <c r="A8521" i="1"/>
  <c r="A8520" i="1"/>
  <c r="A8587" i="1"/>
  <c r="A7939" i="1"/>
  <c r="A8511" i="1"/>
  <c r="A8504" i="1"/>
  <c r="A8503" i="1"/>
  <c r="A8500" i="1"/>
  <c r="A8501" i="1"/>
  <c r="A8502" i="1"/>
  <c r="A7783" i="1"/>
  <c r="A5408" i="1"/>
  <c r="A8491" i="1"/>
  <c r="A8339" i="1"/>
  <c r="A8518" i="1"/>
  <c r="A8338" i="1"/>
  <c r="A8337" i="1"/>
  <c r="A8336" i="1"/>
  <c r="A1907" i="1"/>
  <c r="A1014" i="1"/>
  <c r="A8335" i="1"/>
  <c r="A8334" i="1"/>
  <c r="A3051" i="1"/>
  <c r="A5886" i="1"/>
  <c r="A5885" i="1"/>
  <c r="A8452" i="1"/>
  <c r="A8447" i="1"/>
  <c r="A6343" i="1"/>
  <c r="A6175" i="1"/>
  <c r="A3475" i="1"/>
  <c r="A2535" i="1"/>
  <c r="A2534" i="1"/>
  <c r="A2533" i="1"/>
  <c r="A2008" i="1"/>
  <c r="A4770" i="1"/>
  <c r="A5954" i="1"/>
  <c r="A1885" i="1"/>
  <c r="A6921" i="1"/>
  <c r="A521" i="1"/>
  <c r="A6723" i="1"/>
  <c r="A8432" i="1"/>
  <c r="A6417" i="1"/>
  <c r="A5936" i="1"/>
  <c r="A3713" i="1"/>
  <c r="A2007" i="1"/>
  <c r="A2006" i="1"/>
  <c r="A8427" i="1"/>
  <c r="A3385" i="1"/>
  <c r="A4835" i="1"/>
  <c r="A685" i="1"/>
  <c r="A2740" i="1"/>
  <c r="A2179" i="1"/>
  <c r="A8421" i="1"/>
  <c r="A6861" i="1"/>
  <c r="A5300" i="1"/>
  <c r="A5299" i="1"/>
  <c r="A678" i="1"/>
  <c r="A5298" i="1"/>
  <c r="A5297" i="1"/>
  <c r="A5296" i="1"/>
  <c r="A5295" i="1"/>
  <c r="A500" i="1"/>
  <c r="A7432" i="1"/>
  <c r="A6288" i="1"/>
  <c r="A5294" i="1"/>
  <c r="A8400" i="1"/>
  <c r="A1438" i="1"/>
  <c r="A8393" i="1"/>
  <c r="A4911" i="1"/>
  <c r="A8378" i="1"/>
  <c r="A6328" i="1"/>
  <c r="A6491" i="1"/>
  <c r="A4056" i="1"/>
  <c r="A677" i="1"/>
  <c r="A5293" i="1"/>
  <c r="A358" i="1"/>
  <c r="A7438" i="1"/>
  <c r="A714" i="1"/>
  <c r="A1351" i="1"/>
  <c r="A5884" i="1"/>
  <c r="A5883" i="1"/>
  <c r="A5292" i="1"/>
  <c r="A5882" i="1"/>
  <c r="A8333" i="1"/>
  <c r="A5982" i="1"/>
  <c r="A4393" i="1"/>
  <c r="A5981" i="1"/>
  <c r="A5291" i="1"/>
  <c r="A1488" i="1"/>
  <c r="A8280" i="1"/>
  <c r="A8361" i="1"/>
  <c r="A2225" i="1"/>
  <c r="A92" i="1"/>
  <c r="A8350" i="1"/>
  <c r="A8345" i="1"/>
  <c r="A395" i="1"/>
  <c r="A8342" i="1"/>
  <c r="A8341" i="1"/>
  <c r="A8156" i="1"/>
  <c r="A8298" i="1"/>
  <c r="A2034" i="1"/>
  <c r="A8066" i="1"/>
  <c r="A3356" i="1"/>
  <c r="A8291" i="1"/>
  <c r="A6976" i="1"/>
  <c r="A2532" i="1"/>
  <c r="A8281" i="1"/>
  <c r="A8266" i="1"/>
  <c r="A8265" i="1"/>
  <c r="A8227" i="1"/>
  <c r="A5763" i="1"/>
  <c r="A3855" i="1"/>
  <c r="A3288" i="1"/>
  <c r="A5290" i="1"/>
  <c r="A6750" i="1"/>
  <c r="A4660" i="1"/>
  <c r="A1365" i="1"/>
  <c r="A8194" i="1"/>
  <c r="A2577" i="1"/>
  <c r="A1180" i="1"/>
  <c r="A3972" i="1"/>
  <c r="A8264" i="1"/>
  <c r="A8060" i="1"/>
  <c r="A3712" i="1"/>
  <c r="A8418" i="1"/>
  <c r="A76" i="1"/>
  <c r="A8185" i="1"/>
  <c r="A8184" i="1"/>
  <c r="A3121" i="1"/>
  <c r="A479" i="1"/>
  <c r="A3054" i="1"/>
  <c r="A337" i="1"/>
  <c r="A4181" i="1"/>
  <c r="A3554" i="1"/>
  <c r="A8153" i="1"/>
  <c r="A1655" i="1"/>
  <c r="A8134" i="1"/>
  <c r="A2033" i="1"/>
  <c r="A941" i="1"/>
  <c r="A3770" i="1"/>
  <c r="A172" i="1"/>
  <c r="A8113" i="1"/>
  <c r="A4772" i="1"/>
  <c r="A6048" i="1"/>
  <c r="A7213" i="1"/>
  <c r="A3474" i="1"/>
  <c r="A3120" i="1"/>
  <c r="A5289" i="1"/>
  <c r="A1554" i="1"/>
  <c r="A4055" i="1"/>
  <c r="A4739" i="1"/>
  <c r="A8005" i="1"/>
  <c r="A676" i="1"/>
  <c r="A2531" i="1"/>
  <c r="A4432" i="1"/>
  <c r="A7871" i="1"/>
  <c r="A787" i="1"/>
  <c r="A8048" i="1"/>
  <c r="A4145" i="1"/>
  <c r="A8043" i="1"/>
  <c r="A413" i="1"/>
  <c r="A5760" i="1"/>
  <c r="A8078" i="1"/>
  <c r="A6213" i="1"/>
  <c r="A2253" i="1"/>
  <c r="A2698" i="1"/>
  <c r="A2697" i="1"/>
  <c r="A2894" i="1"/>
  <c r="A4097" i="1"/>
  <c r="A5943" i="1"/>
  <c r="A1779" i="1"/>
  <c r="A6543" i="1"/>
  <c r="A2337" i="1"/>
  <c r="A4338" i="1"/>
  <c r="A8012" i="1"/>
  <c r="A2375" i="1"/>
  <c r="A4082" i="1"/>
  <c r="A6887" i="1"/>
  <c r="A7965" i="1"/>
  <c r="A6004" i="1"/>
  <c r="A7389" i="1"/>
  <c r="A5488" i="1"/>
  <c r="A7950" i="1"/>
  <c r="A7949" i="1"/>
  <c r="A7948" i="1"/>
  <c r="A168" i="1"/>
  <c r="A4054" i="1"/>
  <c r="A154" i="1"/>
  <c r="A7068" i="1"/>
  <c r="A152" i="1"/>
  <c r="A3754" i="1"/>
  <c r="A113" i="1"/>
  <c r="A1301" i="1"/>
  <c r="A485" i="1"/>
  <c r="A2572" i="1"/>
  <c r="A7893" i="1"/>
  <c r="A6292" i="1"/>
  <c r="A1168" i="1"/>
  <c r="A3000" i="1"/>
  <c r="A7892" i="1"/>
  <c r="A7885" i="1"/>
  <c r="A7884" i="1"/>
  <c r="A6707" i="1"/>
  <c r="A7583" i="1"/>
  <c r="A2530" i="1"/>
  <c r="A7870" i="1"/>
  <c r="A483" i="1"/>
  <c r="A7864" i="1"/>
  <c r="A7023" i="1"/>
  <c r="A128" i="1"/>
  <c r="A5616" i="1"/>
  <c r="A3195" i="1"/>
  <c r="A1646" i="1"/>
  <c r="A2030" i="1"/>
  <c r="A1027" i="1"/>
  <c r="A95" i="1"/>
  <c r="A4671" i="1"/>
  <c r="A3714" i="1"/>
  <c r="A2285" i="1"/>
  <c r="A2130" i="1"/>
  <c r="A4353" i="1"/>
  <c r="A3188" i="1"/>
  <c r="A987" i="1"/>
  <c r="A4053" i="1"/>
  <c r="A7735" i="1"/>
  <c r="A7734" i="1"/>
  <c r="A7733" i="1"/>
  <c r="A7732" i="1"/>
  <c r="A8578" i="1"/>
  <c r="A171" i="1"/>
  <c r="A4736" i="1"/>
  <c r="A1778" i="1"/>
  <c r="A4880" i="1"/>
  <c r="A7947" i="1"/>
  <c r="A1919" i="1"/>
  <c r="A2015" i="1"/>
  <c r="A7691" i="1"/>
  <c r="A3082" i="1"/>
  <c r="A5288" i="1"/>
  <c r="A7684" i="1"/>
  <c r="A317" i="1"/>
  <c r="A7646" i="1"/>
  <c r="A7322" i="1"/>
  <c r="A4180" i="1"/>
  <c r="A7106" i="1"/>
  <c r="A4215" i="1"/>
  <c r="A7883" i="1"/>
  <c r="A7615" i="1"/>
  <c r="A1149" i="1"/>
  <c r="A8384" i="1"/>
  <c r="A8544" i="1"/>
  <c r="A1437" i="1"/>
  <c r="A1436" i="1"/>
  <c r="A2165" i="1"/>
  <c r="A7611" i="1"/>
  <c r="A7609" i="1"/>
  <c r="A7605" i="1"/>
  <c r="A7604" i="1"/>
  <c r="A2819" i="1"/>
  <c r="A1135" i="1"/>
  <c r="A5978" i="1"/>
  <c r="A5584" i="1"/>
  <c r="A1975" i="1"/>
  <c r="A4737" i="1"/>
  <c r="A5543" i="1"/>
  <c r="A2792" i="1"/>
  <c r="A4445" i="1"/>
  <c r="A5773" i="1"/>
  <c r="A8002" i="1"/>
  <c r="A4735" i="1"/>
  <c r="A7572" i="1"/>
  <c r="A7571" i="1"/>
  <c r="A7560" i="1"/>
  <c r="A7481" i="1"/>
  <c r="A4398" i="1"/>
  <c r="A1609" i="1"/>
  <c r="A3698" i="1"/>
  <c r="A6794" i="1"/>
  <c r="A2049" i="1"/>
  <c r="A635" i="1"/>
  <c r="A7797" i="1"/>
  <c r="A7550" i="1"/>
  <c r="A1464" i="1"/>
  <c r="A8566" i="1"/>
  <c r="A7533" i="1"/>
  <c r="A6920" i="1"/>
  <c r="A4593" i="1"/>
  <c r="A724" i="1"/>
  <c r="A8105" i="1"/>
  <c r="A492" i="1"/>
  <c r="A7798" i="1"/>
  <c r="A3971" i="1"/>
  <c r="A7103" i="1"/>
  <c r="A1177" i="1"/>
  <c r="A4052" i="1"/>
  <c r="A8332" i="1"/>
  <c r="A3512" i="1"/>
  <c r="A1561" i="1"/>
  <c r="A5725" i="1"/>
  <c r="A6526" i="1"/>
  <c r="A807" i="1"/>
  <c r="A7496" i="1"/>
  <c r="A75" i="1"/>
  <c r="A1172" i="1"/>
  <c r="A129" i="1"/>
  <c r="A7475" i="1"/>
  <c r="A3060" i="1"/>
  <c r="A7474" i="1"/>
  <c r="A7473" i="1"/>
  <c r="A6460" i="1"/>
  <c r="A6459" i="1"/>
  <c r="A7462" i="1"/>
  <c r="A1315" i="1"/>
  <c r="A8068" i="1"/>
  <c r="A5479" i="1"/>
  <c r="A7453" i="1"/>
  <c r="A7452" i="1"/>
  <c r="A89" i="1"/>
  <c r="A1467" i="1"/>
  <c r="A7447" i="1"/>
  <c r="A7446" i="1"/>
  <c r="A605" i="1"/>
  <c r="A1515" i="1"/>
  <c r="A675" i="1"/>
  <c r="A5539" i="1"/>
  <c r="A517" i="1"/>
  <c r="A7623" i="1"/>
  <c r="A1502" i="1"/>
  <c r="A116" i="1"/>
  <c r="A7416" i="1"/>
  <c r="A4533" i="1"/>
  <c r="A7399" i="1"/>
  <c r="A7393" i="1"/>
  <c r="A7390" i="1"/>
  <c r="A7388" i="1"/>
  <c r="A5641" i="1"/>
  <c r="A790" i="1"/>
  <c r="A6657" i="1"/>
  <c r="A6656" i="1"/>
  <c r="A7342" i="1"/>
  <c r="A3607" i="1"/>
  <c r="A4641" i="1"/>
  <c r="A4748" i="1"/>
  <c r="A7323" i="1"/>
  <c r="A5287" i="1"/>
  <c r="A7318" i="1"/>
  <c r="A7311" i="1"/>
  <c r="A7310" i="1"/>
  <c r="A5583" i="1"/>
  <c r="A5508" i="1"/>
  <c r="A7053" i="1"/>
  <c r="A6256" i="1"/>
  <c r="A3606" i="1"/>
  <c r="A3820" i="1"/>
  <c r="A7294" i="1"/>
  <c r="A940" i="1"/>
  <c r="A4096" i="1"/>
  <c r="A1235" i="1"/>
  <c r="A7286" i="1"/>
  <c r="A7284" i="1"/>
  <c r="A5845" i="1"/>
  <c r="A7285" i="1"/>
  <c r="A7283" i="1"/>
  <c r="A7277" i="1"/>
  <c r="A739" i="1"/>
  <c r="A5903" i="1"/>
  <c r="A7540" i="1"/>
  <c r="A1474" i="1"/>
  <c r="A7264" i="1"/>
  <c r="A3970" i="1"/>
  <c r="A7934" i="1"/>
  <c r="A7257" i="1"/>
  <c r="A8331" i="1"/>
  <c r="A2529" i="1"/>
  <c r="A4478" i="1"/>
  <c r="A7252" i="1"/>
  <c r="A7008" i="1"/>
  <c r="A2224" i="1"/>
  <c r="A7242" i="1"/>
  <c r="A7232" i="1"/>
  <c r="A6174" i="1"/>
  <c r="A7224" i="1"/>
  <c r="A1983" i="1"/>
  <c r="A7219" i="1"/>
  <c r="A7218" i="1"/>
  <c r="A6556" i="1"/>
  <c r="A3605" i="1"/>
  <c r="A7217" i="1"/>
  <c r="A6454" i="1"/>
  <c r="A5286" i="1"/>
  <c r="A7209" i="1"/>
  <c r="A5285" i="1"/>
  <c r="A5284" i="1"/>
  <c r="A5283" i="1"/>
  <c r="A5282" i="1"/>
  <c r="A6619" i="1"/>
  <c r="A3426" i="1"/>
  <c r="A8273" i="1"/>
  <c r="A7200" i="1"/>
  <c r="A3473" i="1"/>
  <c r="A5881" i="1"/>
  <c r="A823" i="1"/>
  <c r="A6036" i="1"/>
  <c r="A3490" i="1"/>
  <c r="A7199" i="1"/>
  <c r="A7195" i="1"/>
  <c r="A7194" i="1"/>
  <c r="A4241" i="1"/>
  <c r="A3774" i="1"/>
  <c r="A432" i="1"/>
  <c r="A5497" i="1"/>
  <c r="A7185" i="1"/>
  <c r="A4051" i="1"/>
  <c r="A4050" i="1"/>
  <c r="A4049" i="1"/>
  <c r="A8100" i="1"/>
  <c r="A4409" i="1"/>
  <c r="A6987" i="1"/>
  <c r="A1248" i="1"/>
  <c r="A2116" i="1"/>
  <c r="A1626" i="1"/>
  <c r="A2528" i="1"/>
  <c r="A2527" i="1"/>
  <c r="A5281" i="1"/>
  <c r="A91" i="1"/>
  <c r="A7153" i="1"/>
  <c r="A1198" i="1"/>
  <c r="A3551" i="1"/>
  <c r="A924" i="1"/>
  <c r="A3077" i="1"/>
  <c r="A3076" i="1"/>
  <c r="A3075" i="1"/>
  <c r="A713" i="1"/>
  <c r="A7052" i="1"/>
  <c r="A6531" i="1"/>
  <c r="A1947" i="1"/>
  <c r="A280" i="1"/>
  <c r="A8330" i="1"/>
  <c r="A4747" i="1"/>
  <c r="A7051" i="1"/>
  <c r="A7050" i="1"/>
  <c r="A7049" i="1"/>
  <c r="A4470" i="1"/>
  <c r="A7040" i="1"/>
  <c r="A352" i="1"/>
  <c r="A7014" i="1"/>
  <c r="A1011" i="1"/>
  <c r="A4258" i="1"/>
  <c r="A181" i="1"/>
  <c r="A1300" i="1"/>
  <c r="A6993" i="1"/>
  <c r="A6990" i="1"/>
  <c r="A2005" i="1"/>
  <c r="A6986" i="1"/>
  <c r="A1777" i="1"/>
  <c r="A6982" i="1"/>
  <c r="A57" i="1"/>
  <c r="A510" i="1"/>
  <c r="A6975" i="1"/>
  <c r="A6963" i="1"/>
  <c r="A6607" i="1"/>
  <c r="A279" i="1"/>
  <c r="A2258" i="1"/>
  <c r="A431" i="1"/>
  <c r="A5280" i="1"/>
  <c r="A3482" i="1"/>
  <c r="A8200" i="1"/>
  <c r="A8072" i="1"/>
  <c r="A5551" i="1"/>
  <c r="A6757" i="1"/>
  <c r="A503" i="1"/>
  <c r="A8519" i="1"/>
  <c r="A1159" i="1"/>
  <c r="A1158" i="1"/>
  <c r="A4288" i="1"/>
  <c r="A5505" i="1"/>
  <c r="A5279" i="1"/>
  <c r="A3604" i="1"/>
  <c r="A3802" i="1"/>
  <c r="A2223" i="1"/>
  <c r="A3969" i="1"/>
  <c r="A8071" i="1"/>
  <c r="A6848" i="1"/>
  <c r="A7414" i="1"/>
  <c r="A2345" i="1"/>
  <c r="A5819" i="1"/>
  <c r="A6847" i="1"/>
  <c r="A7825" i="1"/>
  <c r="A6831" i="1"/>
  <c r="A6830" i="1"/>
  <c r="A3157" i="1"/>
  <c r="A3156" i="1"/>
  <c r="A6985" i="1"/>
  <c r="A5614" i="1"/>
  <c r="A7539" i="1"/>
  <c r="A6777" i="1"/>
  <c r="A6776" i="1"/>
  <c r="A4413" i="1"/>
  <c r="A1152" i="1"/>
  <c r="A6760" i="1"/>
  <c r="A3401" i="1"/>
  <c r="A3668" i="1"/>
  <c r="A6751" i="1"/>
  <c r="A5736" i="1"/>
  <c r="A5278" i="1"/>
  <c r="A2106" i="1"/>
  <c r="A6996" i="1"/>
  <c r="A1092" i="1"/>
  <c r="A94" i="1"/>
  <c r="A5277" i="1"/>
  <c r="A6368" i="1"/>
  <c r="A7349" i="1"/>
  <c r="A6717" i="1"/>
  <c r="A6716" i="1"/>
  <c r="A5695" i="1"/>
  <c r="A3974" i="1"/>
  <c r="A6706" i="1"/>
  <c r="A2004" i="1"/>
  <c r="A6639" i="1"/>
  <c r="A312" i="1"/>
  <c r="A7819" i="1"/>
  <c r="A3232" i="1"/>
  <c r="A4504" i="1"/>
  <c r="A6416" i="1"/>
  <c r="A6630" i="1"/>
  <c r="A7728" i="1"/>
  <c r="A6631" i="1"/>
  <c r="A6650" i="1"/>
  <c r="A6628" i="1"/>
  <c r="A7994" i="1"/>
  <c r="A6626" i="1"/>
  <c r="A1105" i="1"/>
  <c r="A1104" i="1"/>
  <c r="A1103" i="1"/>
  <c r="A7741" i="1"/>
  <c r="A6635" i="1"/>
  <c r="A2113" i="1"/>
  <c r="A6606" i="1"/>
  <c r="A1007" i="1"/>
  <c r="A4179" i="1"/>
  <c r="A3377" i="1"/>
  <c r="A1453" i="1"/>
  <c r="A1350" i="1"/>
  <c r="A3189" i="1"/>
  <c r="A5412" i="1"/>
  <c r="A4743" i="1"/>
  <c r="A502" i="1"/>
  <c r="A3279" i="1"/>
  <c r="A5418" i="1"/>
  <c r="A3472" i="1"/>
  <c r="A348" i="1"/>
  <c r="A4254" i="1"/>
  <c r="A1941" i="1"/>
  <c r="A2648" i="1"/>
  <c r="A5276" i="1"/>
  <c r="A5275" i="1"/>
  <c r="A2644" i="1"/>
  <c r="A1214" i="1"/>
  <c r="A7634" i="1"/>
  <c r="A6342" i="1"/>
  <c r="A2188" i="1"/>
  <c r="A8177" i="1"/>
  <c r="A6563" i="1"/>
  <c r="A5538" i="1"/>
  <c r="A6549" i="1"/>
  <c r="A4527" i="1"/>
  <c r="A2638" i="1"/>
  <c r="A1443" i="1"/>
  <c r="A369" i="1"/>
  <c r="A6546" i="1"/>
  <c r="A712" i="1"/>
  <c r="A179" i="1"/>
  <c r="A278" i="1"/>
  <c r="A6535" i="1"/>
  <c r="A3471" i="1"/>
  <c r="A79" i="1"/>
  <c r="A6527" i="1"/>
  <c r="A1211" i="1"/>
  <c r="A721" i="1"/>
  <c r="A5913" i="1"/>
  <c r="A157" i="1"/>
  <c r="A5274" i="1"/>
  <c r="A6511" i="1"/>
  <c r="A3574" i="1"/>
  <c r="A2079" i="1"/>
  <c r="A3573" i="1"/>
  <c r="A5273" i="1"/>
  <c r="A5272" i="1"/>
  <c r="A4333" i="1"/>
  <c r="A6506" i="1"/>
  <c r="A1553" i="1"/>
  <c r="A4048" i="1"/>
  <c r="A6514" i="1"/>
  <c r="A7793" i="1"/>
  <c r="A519" i="1"/>
  <c r="A6499" i="1"/>
  <c r="A6305" i="1"/>
  <c r="A2844" i="1"/>
  <c r="A6530" i="1"/>
  <c r="A6300" i="1"/>
  <c r="A4144" i="1"/>
  <c r="A5818" i="1"/>
  <c r="A6498" i="1"/>
  <c r="A6497" i="1"/>
  <c r="A6494" i="1"/>
  <c r="A5271" i="1"/>
  <c r="A5345" i="1"/>
  <c r="A6490" i="1"/>
  <c r="A674" i="1"/>
  <c r="A7862" i="1"/>
  <c r="A7211" i="1"/>
  <c r="A7210" i="1"/>
  <c r="A6482" i="1"/>
  <c r="A8263" i="1"/>
  <c r="A6453" i="1"/>
  <c r="A5782" i="1"/>
  <c r="A1691" i="1"/>
  <c r="A6525" i="1"/>
  <c r="A7608" i="1"/>
  <c r="A109" i="1"/>
  <c r="A7413" i="1"/>
  <c r="A5771" i="1"/>
  <c r="A6429" i="1"/>
  <c r="A3278" i="1"/>
  <c r="A5870" i="1"/>
  <c r="A2782" i="1"/>
  <c r="A5613" i="1"/>
  <c r="A2003" i="1"/>
  <c r="A6246" i="1"/>
  <c r="A7170" i="1"/>
  <c r="A3753" i="1"/>
  <c r="A6415" i="1"/>
  <c r="A6414" i="1"/>
  <c r="A5699" i="1"/>
  <c r="A4474" i="1"/>
  <c r="A1213" i="1"/>
  <c r="A1452" i="1"/>
  <c r="A5942" i="1"/>
  <c r="A6360" i="1"/>
  <c r="A6358" i="1"/>
  <c r="A1299" i="1"/>
  <c r="A8164" i="1"/>
  <c r="A6329" i="1"/>
  <c r="A4629" i="1"/>
  <c r="A1077" i="1"/>
  <c r="A7545" i="1"/>
  <c r="A608" i="1"/>
  <c r="A7351" i="1"/>
  <c r="A1895" i="1"/>
  <c r="A2349" i="1"/>
  <c r="A345" i="1"/>
  <c r="A6302" i="1"/>
  <c r="A1185" i="1"/>
  <c r="A7613" i="1"/>
  <c r="A1298" i="1"/>
  <c r="A6293" i="1"/>
  <c r="A2526" i="1"/>
  <c r="A1662" i="1"/>
  <c r="A3553" i="1"/>
  <c r="A2029" i="1"/>
  <c r="A1058" i="1"/>
  <c r="A1686" i="1"/>
  <c r="A867" i="1"/>
  <c r="A302" i="1"/>
  <c r="A536" i="1"/>
  <c r="A5455" i="1"/>
  <c r="A4408" i="1"/>
  <c r="A300" i="1"/>
  <c r="A6248" i="1"/>
  <c r="A711" i="1"/>
  <c r="A392" i="1"/>
  <c r="A2525" i="1"/>
  <c r="A6245" i="1"/>
  <c r="A6244" i="1"/>
  <c r="A6243" i="1"/>
  <c r="A6225" i="1"/>
  <c r="A1142" i="1"/>
  <c r="A7346" i="1"/>
  <c r="A6224" i="1"/>
  <c r="A4178" i="1"/>
  <c r="A8392" i="1"/>
  <c r="A3363" i="1"/>
  <c r="A5270" i="1"/>
  <c r="A1615" i="1"/>
  <c r="A3349" i="1"/>
  <c r="A2715" i="1"/>
  <c r="A5915" i="1"/>
  <c r="A986" i="1"/>
  <c r="A4359" i="1"/>
  <c r="A6173" i="1"/>
  <c r="A6172" i="1"/>
  <c r="A6171" i="1"/>
  <c r="A6170" i="1"/>
  <c r="A6169" i="1"/>
  <c r="A6053" i="1"/>
  <c r="A702" i="1"/>
  <c r="A6043" i="1"/>
  <c r="A3603" i="1"/>
  <c r="A3736" i="1"/>
  <c r="A2524" i="1"/>
  <c r="A5922" i="1"/>
  <c r="A325" i="1"/>
  <c r="A86" i="1"/>
  <c r="A4590" i="1"/>
  <c r="A6184" i="1"/>
  <c r="A2252" i="1"/>
  <c r="A5985" i="1"/>
  <c r="A4143" i="1"/>
  <c r="A162" i="1"/>
  <c r="A5965" i="1"/>
  <c r="A160" i="1"/>
  <c r="A5971" i="1"/>
  <c r="A3655" i="1"/>
  <c r="A5950" i="1"/>
  <c r="A5932" i="1"/>
  <c r="A2180" i="1"/>
  <c r="A5917" i="1"/>
  <c r="A6484" i="1"/>
  <c r="A2290" i="1"/>
  <c r="A5905" i="1"/>
  <c r="A8011" i="1"/>
  <c r="A5891" i="1"/>
  <c r="A550" i="1"/>
  <c r="A1151" i="1"/>
  <c r="A1175" i="1"/>
  <c r="A8095" i="1"/>
  <c r="A673" i="1"/>
  <c r="A5841" i="1"/>
  <c r="A2817" i="1"/>
  <c r="A6889" i="1"/>
  <c r="A5404" i="1"/>
  <c r="A1171" i="1"/>
  <c r="A5801" i="1"/>
  <c r="A7442" i="1"/>
  <c r="A5356" i="1"/>
  <c r="A7701" i="1"/>
  <c r="A156" i="1"/>
  <c r="A2799" i="1"/>
  <c r="A5781" i="1"/>
  <c r="A5752" i="1"/>
  <c r="A5751" i="1"/>
  <c r="A3119" i="1"/>
  <c r="A5730" i="1"/>
  <c r="A1808" i="1"/>
  <c r="A5693" i="1"/>
  <c r="A5686" i="1"/>
  <c r="A5733" i="1"/>
  <c r="A5679" i="1"/>
  <c r="A5678" i="1"/>
  <c r="A611" i="1"/>
  <c r="A1487" i="1"/>
  <c r="A3050" i="1"/>
  <c r="A1776" i="1"/>
  <c r="A4047" i="1"/>
  <c r="A5852" i="1"/>
  <c r="A5668" i="1"/>
  <c r="A5667" i="1"/>
  <c r="A5658" i="1"/>
  <c r="A5269" i="1"/>
  <c r="A484" i="1"/>
  <c r="A5654" i="1"/>
  <c r="A5653" i="1"/>
  <c r="A1106" i="1"/>
  <c r="A5644" i="1"/>
  <c r="A5640" i="1"/>
  <c r="A3328" i="1"/>
  <c r="A4626" i="1"/>
  <c r="A5612" i="1"/>
  <c r="A5611" i="1"/>
  <c r="A5610" i="1"/>
  <c r="A5609" i="1"/>
  <c r="A5608" i="1"/>
  <c r="A1499" i="1"/>
  <c r="A501" i="1"/>
  <c r="A5582" i="1"/>
  <c r="A5581" i="1"/>
  <c r="A5580" i="1"/>
  <c r="A5579" i="1"/>
  <c r="A5578" i="1"/>
  <c r="A5559" i="1"/>
  <c r="A8508" i="1"/>
  <c r="A3231" i="1"/>
  <c r="A5527" i="1"/>
  <c r="A5509" i="1"/>
  <c r="A5507" i="1"/>
  <c r="A6858" i="1"/>
  <c r="A5496" i="1"/>
  <c r="A5549" i="1"/>
  <c r="A1140" i="1"/>
  <c r="A3757" i="1"/>
  <c r="A3625" i="1"/>
  <c r="A6202" i="1"/>
  <c r="A939" i="1"/>
  <c r="A6984" i="1"/>
  <c r="A4257" i="1"/>
  <c r="A277" i="1"/>
  <c r="A4663" i="1"/>
  <c r="A5433" i="1"/>
  <c r="A6168" i="1"/>
  <c r="A4177" i="1"/>
  <c r="A4176" i="1"/>
  <c r="A4175" i="1"/>
  <c r="A4174" i="1"/>
  <c r="A4173" i="1"/>
  <c r="A4817" i="1"/>
  <c r="A5577" i="1"/>
  <c r="A5426" i="1"/>
  <c r="A2815" i="1"/>
  <c r="A1472" i="1"/>
  <c r="A5684" i="1"/>
  <c r="A5410" i="1"/>
  <c r="A430" i="1"/>
  <c r="A5454" i="1"/>
  <c r="A7348" i="1"/>
  <c r="A5400" i="1"/>
  <c r="A5268" i="1"/>
  <c r="A938" i="1"/>
  <c r="A3340" i="1"/>
  <c r="A672" i="1"/>
  <c r="A5374" i="1"/>
  <c r="A5369" i="1"/>
  <c r="A1355" i="1"/>
  <c r="A3602" i="1"/>
  <c r="A4749" i="1"/>
  <c r="A3470" i="1"/>
  <c r="A5326" i="1"/>
  <c r="A5308" i="1"/>
  <c r="A6705" i="1"/>
  <c r="A2222" i="1"/>
  <c r="A2523" i="1"/>
  <c r="A5267" i="1"/>
  <c r="A5266" i="1"/>
  <c r="A5265" i="1"/>
  <c r="A5264" i="1"/>
  <c r="A5263" i="1"/>
  <c r="A5262" i="1"/>
  <c r="A647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830" i="1"/>
  <c r="A5248" i="1"/>
  <c r="A5247" i="1"/>
  <c r="A5246" i="1"/>
  <c r="A8225" i="1"/>
  <c r="A4960" i="1"/>
  <c r="A4918" i="1"/>
  <c r="A4917" i="1"/>
  <c r="A2682" i="1"/>
  <c r="A3749" i="1"/>
  <c r="A4209" i="1"/>
  <c r="A4532" i="1"/>
  <c r="A4896" i="1"/>
  <c r="A3670" i="1"/>
  <c r="A3669" i="1"/>
  <c r="A4894" i="1"/>
  <c r="A5869" i="1"/>
  <c r="A5477" i="1"/>
  <c r="A3325" i="1"/>
  <c r="A2454" i="1"/>
  <c r="A2710" i="1"/>
  <c r="A2671" i="1"/>
  <c r="A6581" i="1"/>
  <c r="A7666" i="1"/>
  <c r="A4852" i="1"/>
  <c r="A50" i="1"/>
  <c r="A49" i="1"/>
  <c r="A48" i="1"/>
  <c r="A47" i="1"/>
  <c r="A3711" i="1"/>
  <c r="A4831" i="1"/>
  <c r="A4830" i="1"/>
  <c r="A8410" i="1"/>
  <c r="A5607" i="1"/>
  <c r="A2078" i="1"/>
  <c r="A1903" i="1"/>
  <c r="A5409" i="1"/>
  <c r="A4810" i="1"/>
  <c r="A4802" i="1"/>
  <c r="A4801" i="1"/>
  <c r="A4800" i="1"/>
  <c r="A4799" i="1"/>
  <c r="A5576" i="1"/>
  <c r="A3762" i="1"/>
  <c r="A3633" i="1"/>
  <c r="A4750" i="1"/>
  <c r="A4142" i="1"/>
  <c r="A46" i="1"/>
  <c r="A45" i="1"/>
  <c r="A1302" i="1"/>
  <c r="A1338" i="1"/>
  <c r="A1354" i="1"/>
  <c r="A4874" i="1"/>
  <c r="A4873" i="1"/>
  <c r="A4724" i="1"/>
  <c r="A5245" i="1"/>
  <c r="A1297" i="1"/>
  <c r="A4682" i="1"/>
  <c r="A4681" i="1"/>
  <c r="A2522" i="1"/>
  <c r="A2156" i="1"/>
  <c r="A5599" i="1"/>
  <c r="A4679" i="1"/>
  <c r="A4677" i="1"/>
  <c r="A2096" i="1"/>
  <c r="A1813" i="1"/>
  <c r="A6860" i="1"/>
  <c r="A3040" i="1"/>
  <c r="A1032" i="1"/>
  <c r="A4622" i="1"/>
  <c r="A4621" i="1"/>
  <c r="A6666" i="1"/>
  <c r="A4607" i="1"/>
  <c r="A4620" i="1"/>
  <c r="A7558" i="1"/>
  <c r="A1956" i="1"/>
  <c r="A2058" i="1"/>
  <c r="A4602" i="1"/>
  <c r="A2672" i="1"/>
  <c r="A2037" i="1"/>
  <c r="A4632" i="1"/>
  <c r="A3414" i="1"/>
  <c r="A4581" i="1"/>
  <c r="A6379" i="1"/>
  <c r="A2731" i="1"/>
  <c r="A7272" i="1"/>
  <c r="A4577" i="1"/>
  <c r="A4573" i="1"/>
  <c r="A4572" i="1"/>
  <c r="A2842" i="1"/>
  <c r="A5970" i="1"/>
  <c r="A2521" i="1"/>
  <c r="A4531" i="1"/>
  <c r="A5244" i="1"/>
  <c r="A7180" i="1"/>
  <c r="A4509" i="1"/>
  <c r="A8586" i="1"/>
  <c r="A4471" i="1"/>
  <c r="A1113" i="1"/>
  <c r="A1337" i="1"/>
  <c r="A3489" i="1"/>
  <c r="A4460" i="1"/>
  <c r="A4459" i="1"/>
  <c r="A4458" i="1"/>
  <c r="A4457" i="1"/>
  <c r="A4456" i="1"/>
  <c r="A4455" i="1"/>
  <c r="A5417" i="1"/>
  <c r="A2439" i="1"/>
  <c r="A6704" i="1"/>
  <c r="A5931" i="1"/>
  <c r="A4411" i="1"/>
  <c r="A1137" i="1"/>
  <c r="A4400" i="1"/>
  <c r="A5243" i="1"/>
  <c r="A7705" i="1"/>
  <c r="A2663" i="1"/>
  <c r="A1694" i="1"/>
  <c r="A3806" i="1"/>
  <c r="A4377" i="1"/>
  <c r="A2082" i="1"/>
  <c r="A4366" i="1"/>
  <c r="A4354" i="1"/>
  <c r="A4346" i="1"/>
  <c r="A4345" i="1"/>
  <c r="A4344" i="1"/>
  <c r="A2107" i="1"/>
  <c r="A7908" i="1"/>
  <c r="A1224" i="1"/>
  <c r="A7105" i="1"/>
  <c r="A4330" i="1"/>
  <c r="A4640" i="1"/>
  <c r="A2334" i="1"/>
  <c r="A638" i="1"/>
  <c r="A5362" i="1"/>
  <c r="A2128" i="1"/>
  <c r="A6703" i="1"/>
  <c r="A3511" i="1"/>
  <c r="A4301" i="1"/>
  <c r="A7546" i="1"/>
  <c r="A6167" i="1"/>
  <c r="A1980" i="1"/>
  <c r="A1263" i="1"/>
  <c r="A4247" i="1"/>
  <c r="A604" i="1"/>
  <c r="A4217" i="1"/>
  <c r="A5794" i="1"/>
  <c r="A6166" i="1"/>
  <c r="A1775" i="1"/>
  <c r="A4239" i="1"/>
  <c r="A4238" i="1"/>
  <c r="A7039" i="1"/>
  <c r="A6165" i="1"/>
  <c r="A6164" i="1"/>
  <c r="A6163" i="1"/>
  <c r="A4283" i="1"/>
  <c r="A4212" i="1"/>
  <c r="A4182" i="1"/>
  <c r="A4199" i="1"/>
  <c r="A1927" i="1"/>
  <c r="A8123" i="1"/>
  <c r="A671" i="1"/>
  <c r="A2251" i="1"/>
  <c r="A4115" i="1"/>
  <c r="A4112" i="1"/>
  <c r="A4111" i="1"/>
  <c r="A4172" i="1"/>
  <c r="A4109" i="1"/>
  <c r="A1552" i="1"/>
  <c r="A4046" i="1"/>
  <c r="A4045" i="1"/>
  <c r="A985" i="1"/>
  <c r="A8569" i="1"/>
  <c r="A4095" i="1"/>
  <c r="A4094" i="1"/>
  <c r="A4589" i="1"/>
  <c r="A3601" i="1"/>
  <c r="A1005" i="1"/>
  <c r="A4058" i="1"/>
  <c r="A4044" i="1"/>
  <c r="A4043" i="1"/>
  <c r="A4042" i="1"/>
  <c r="A4041" i="1"/>
  <c r="A4040" i="1"/>
  <c r="A4039" i="1"/>
  <c r="A5242" i="1"/>
  <c r="A4038" i="1"/>
  <c r="A8329" i="1"/>
  <c r="A4141" i="1"/>
  <c r="A4140" i="1"/>
  <c r="A4139" i="1"/>
  <c r="A4138" i="1"/>
  <c r="A3710" i="1"/>
  <c r="A8397" i="1"/>
  <c r="A1856" i="1"/>
  <c r="A1614" i="1"/>
  <c r="A3968" i="1"/>
  <c r="A3967" i="1"/>
  <c r="A6611" i="1"/>
  <c r="A8039" i="1"/>
  <c r="A6431" i="1"/>
  <c r="A3728" i="1"/>
  <c r="A3727" i="1"/>
  <c r="A1463" i="1"/>
  <c r="A3330" i="1"/>
  <c r="A8398" i="1"/>
  <c r="A3600" i="1"/>
  <c r="A5319" i="1"/>
  <c r="A3812" i="1"/>
  <c r="A3810" i="1"/>
  <c r="A3808" i="1"/>
  <c r="A5909" i="1"/>
  <c r="A1130" i="1"/>
  <c r="A3796" i="1"/>
  <c r="A3795" i="1"/>
  <c r="A1637" i="1"/>
  <c r="A7231" i="1"/>
  <c r="A5575" i="1"/>
  <c r="A4843" i="1"/>
  <c r="A6413" i="1"/>
  <c r="A3769" i="1"/>
  <c r="A3765" i="1"/>
  <c r="A7431" i="1"/>
  <c r="A349" i="1"/>
  <c r="A2092" i="1"/>
  <c r="A8142" i="1"/>
  <c r="A670" i="1"/>
  <c r="A5681" i="1"/>
  <c r="A3747" i="1"/>
  <c r="A108" i="1"/>
  <c r="A7771" i="1"/>
  <c r="A8371" i="1"/>
  <c r="A1551" i="1"/>
  <c r="A4567" i="1"/>
  <c r="A1356" i="1"/>
  <c r="A375" i="1"/>
  <c r="A6190" i="1"/>
  <c r="A1550" i="1"/>
  <c r="A2476" i="1"/>
  <c r="A3599" i="1"/>
  <c r="A3708" i="1"/>
  <c r="A669" i="1"/>
  <c r="A3705" i="1"/>
  <c r="A6191" i="1"/>
  <c r="A3057" i="1"/>
  <c r="A3677" i="1"/>
  <c r="A668" i="1"/>
  <c r="A4037" i="1"/>
  <c r="A3966" i="1"/>
  <c r="A3667" i="1"/>
  <c r="A3666" i="1"/>
  <c r="A7067" i="1"/>
  <c r="A8385" i="1"/>
  <c r="A5241" i="1"/>
  <c r="A287" i="1"/>
  <c r="A3632" i="1"/>
  <c r="A2609" i="1"/>
  <c r="A3143" i="1"/>
  <c r="A3627" i="1"/>
  <c r="A3598" i="1"/>
  <c r="A3624" i="1"/>
  <c r="A3623" i="1"/>
  <c r="A3597" i="1"/>
  <c r="A3469" i="1"/>
  <c r="A3468" i="1"/>
  <c r="A3568" i="1"/>
  <c r="A6234" i="1"/>
  <c r="A3467" i="1"/>
  <c r="A5804" i="1"/>
  <c r="A1138" i="1"/>
  <c r="A3565" i="1"/>
  <c r="A3564" i="1"/>
  <c r="A6437" i="1"/>
  <c r="A3550" i="1"/>
  <c r="A3546" i="1"/>
  <c r="A3545" i="1"/>
  <c r="A3544" i="1"/>
  <c r="A7932" i="1"/>
  <c r="A6829" i="1"/>
  <c r="A3477" i="1"/>
  <c r="A3466" i="1"/>
  <c r="A3596" i="1"/>
  <c r="A3465" i="1"/>
  <c r="A3464" i="1"/>
  <c r="A3463" i="1"/>
  <c r="A3595" i="1"/>
  <c r="A3462" i="1"/>
  <c r="A3461" i="1"/>
  <c r="A3460" i="1"/>
  <c r="A3459" i="1"/>
  <c r="A3458" i="1"/>
  <c r="A7031" i="1"/>
  <c r="A3431" i="1"/>
  <c r="A508" i="1"/>
  <c r="A178" i="1"/>
  <c r="A1855" i="1"/>
  <c r="A3543" i="1"/>
  <c r="A3542" i="1"/>
  <c r="A3541" i="1"/>
  <c r="A3540" i="1"/>
  <c r="A3539" i="1"/>
  <c r="A3538" i="1"/>
  <c r="A3537" i="1"/>
  <c r="A3536" i="1"/>
  <c r="A4137" i="1"/>
  <c r="A414" i="1"/>
  <c r="A7909" i="1"/>
  <c r="A1435" i="1"/>
  <c r="A3367" i="1"/>
  <c r="A3835" i="1"/>
  <c r="A1370" i="1"/>
  <c r="A3277" i="1"/>
  <c r="A3352" i="1"/>
  <c r="A7822" i="1"/>
  <c r="A4289" i="1"/>
  <c r="A4216" i="1"/>
  <c r="A7007" i="1"/>
  <c r="A7263" i="1"/>
  <c r="A3338" i="1"/>
  <c r="A3276" i="1"/>
  <c r="A1457" i="1"/>
  <c r="A7162" i="1"/>
  <c r="A7161" i="1"/>
  <c r="A8152" i="1"/>
  <c r="A4767" i="1"/>
  <c r="A7110" i="1"/>
  <c r="A3316" i="1"/>
  <c r="A3309" i="1"/>
  <c r="A3304" i="1"/>
  <c r="A3430" i="1"/>
  <c r="A4511" i="1"/>
  <c r="A3287" i="1"/>
  <c r="A1803" i="1"/>
  <c r="A3275" i="1"/>
  <c r="A3274" i="1"/>
  <c r="A3273" i="1"/>
  <c r="A3272" i="1"/>
  <c r="A5453" i="1"/>
  <c r="A3242" i="1"/>
  <c r="A5537" i="1"/>
  <c r="A5772" i="1"/>
  <c r="A3230" i="1"/>
  <c r="A3229" i="1"/>
  <c r="A3036" i="1"/>
  <c r="A3228" i="1"/>
  <c r="A3227" i="1"/>
  <c r="A3226" i="1"/>
  <c r="A3035" i="1"/>
  <c r="A3034" i="1"/>
  <c r="A3209" i="1"/>
  <c r="A743" i="1"/>
  <c r="A3193" i="1"/>
  <c r="A3187" i="1"/>
  <c r="A1141" i="1"/>
  <c r="A3170" i="1"/>
  <c r="A3208" i="1"/>
  <c r="A3033" i="1"/>
  <c r="A1807" i="1"/>
  <c r="A3153" i="1"/>
  <c r="A3151" i="1"/>
  <c r="A4523" i="1"/>
  <c r="A30" i="1"/>
  <c r="A6752" i="1"/>
  <c r="A3240" i="1"/>
  <c r="A8580" i="1"/>
  <c r="A7629" i="1"/>
  <c r="A4036" i="1"/>
  <c r="A1613" i="1"/>
  <c r="A3127" i="1"/>
  <c r="A667" i="1"/>
  <c r="A2875" i="1"/>
  <c r="A5240" i="1"/>
  <c r="A5239" i="1"/>
  <c r="A3085" i="1"/>
  <c r="A3080" i="1"/>
  <c r="A2036" i="1"/>
  <c r="A5238" i="1"/>
  <c r="A3055" i="1"/>
  <c r="A526" i="1"/>
  <c r="A276" i="1"/>
  <c r="A4443" i="1"/>
  <c r="A2561" i="1"/>
  <c r="A2560" i="1"/>
  <c r="A2559" i="1"/>
  <c r="A2558" i="1"/>
  <c r="A2557" i="1"/>
  <c r="A3037" i="1"/>
  <c r="A6306" i="1"/>
  <c r="A288" i="1"/>
  <c r="A3053" i="1"/>
  <c r="A5908" i="1"/>
  <c r="A2556" i="1"/>
  <c r="A3041" i="1"/>
  <c r="A2555" i="1"/>
  <c r="A4171" i="1"/>
  <c r="A4170" i="1"/>
  <c r="A1307" i="1"/>
  <c r="A3012" i="1"/>
  <c r="A6469" i="1"/>
  <c r="A3038" i="1"/>
  <c r="A3594" i="1"/>
  <c r="A1364" i="1"/>
  <c r="A6702" i="1"/>
  <c r="A2983" i="1"/>
  <c r="A6649" i="1"/>
  <c r="A3719" i="1"/>
  <c r="A6295" i="1"/>
  <c r="A7726" i="1"/>
  <c r="A7658" i="1"/>
  <c r="A275" i="1"/>
  <c r="A2520" i="1"/>
  <c r="A2956" i="1"/>
  <c r="A1649" i="1"/>
  <c r="A6162" i="1"/>
  <c r="A7201" i="1"/>
  <c r="A2944" i="1"/>
  <c r="A6357" i="1"/>
  <c r="A2937" i="1"/>
  <c r="A2935" i="1"/>
  <c r="A1170" i="1"/>
  <c r="A3965" i="1"/>
  <c r="A7327" i="1"/>
  <c r="A4035" i="1"/>
  <c r="A5237" i="1"/>
  <c r="A6741" i="1"/>
  <c r="A2519" i="1"/>
  <c r="A8434" i="1"/>
  <c r="A2955" i="1"/>
  <c r="A3665" i="1"/>
  <c r="A7430" i="1"/>
  <c r="A2925" i="1"/>
  <c r="A299" i="1"/>
  <c r="A1809" i="1"/>
  <c r="A1949" i="1"/>
  <c r="A2884" i="1"/>
  <c r="A6217" i="1"/>
  <c r="A4526" i="1"/>
  <c r="A2874" i="1"/>
  <c r="A2872" i="1"/>
  <c r="A5416" i="1"/>
  <c r="A3362" i="1"/>
  <c r="A3216" i="1"/>
  <c r="A1247" i="1"/>
  <c r="A2388" i="1"/>
  <c r="A8328" i="1"/>
  <c r="A8480" i="1"/>
  <c r="A8327" i="1"/>
  <c r="A8326" i="1"/>
  <c r="A8325" i="1"/>
  <c r="A5941" i="1"/>
  <c r="A8324" i="1"/>
  <c r="A8323" i="1"/>
  <c r="A8322" i="1"/>
  <c r="A4034" i="1"/>
  <c r="A3834" i="1"/>
  <c r="A2851" i="1"/>
  <c r="A5236" i="1"/>
  <c r="A1963" i="1"/>
  <c r="A2850" i="1"/>
  <c r="A2002" i="1"/>
  <c r="A5452" i="1"/>
  <c r="A2848" i="1"/>
  <c r="A8141" i="1"/>
  <c r="A5235" i="1"/>
  <c r="A2837" i="1"/>
  <c r="A1090" i="1"/>
  <c r="A2830" i="1"/>
  <c r="A3215" i="1"/>
  <c r="A8352" i="1"/>
  <c r="A2833" i="1"/>
  <c r="A3622" i="1"/>
  <c r="A2709" i="1"/>
  <c r="A7647" i="1"/>
  <c r="A6773" i="1"/>
  <c r="A2816" i="1"/>
  <c r="A4169" i="1"/>
  <c r="A8116" i="1"/>
  <c r="A2798" i="1"/>
  <c r="A2794" i="1"/>
  <c r="A5935" i="1"/>
  <c r="A2774" i="1"/>
  <c r="A2773" i="1"/>
  <c r="A2772" i="1"/>
  <c r="A2771" i="1"/>
  <c r="A344" i="1"/>
  <c r="A2747" i="1"/>
  <c r="A4194" i="1"/>
  <c r="A3397" i="1"/>
  <c r="A316" i="1"/>
  <c r="A666" i="1"/>
  <c r="A7988" i="1"/>
  <c r="A2255" i="1"/>
  <c r="A1253" i="1"/>
  <c r="A491" i="1"/>
  <c r="A2719" i="1"/>
  <c r="A2718" i="1"/>
  <c r="A6348" i="1"/>
  <c r="A4151" i="1"/>
  <c r="A4033" i="1"/>
  <c r="A4329" i="1"/>
  <c r="A2711" i="1"/>
  <c r="A4490" i="1"/>
  <c r="A2250" i="1"/>
  <c r="A2249" i="1"/>
  <c r="A2696" i="1"/>
  <c r="A5846" i="1"/>
  <c r="A2679" i="1"/>
  <c r="A2678" i="1"/>
  <c r="A2828" i="1"/>
  <c r="A3593" i="1"/>
  <c r="A3019" i="1"/>
  <c r="A6435" i="1"/>
  <c r="A7757" i="1"/>
  <c r="A1497" i="1"/>
  <c r="A1246" i="1"/>
  <c r="A3735" i="1"/>
  <c r="A2646" i="1"/>
  <c r="A2643" i="1"/>
  <c r="A4840" i="1"/>
  <c r="A4649" i="1"/>
  <c r="A3371" i="1"/>
  <c r="A3320" i="1"/>
  <c r="A4417" i="1"/>
  <c r="A338" i="1"/>
  <c r="A2590" i="1"/>
  <c r="A4639" i="1"/>
  <c r="A3563" i="1"/>
  <c r="A1549" i="1"/>
  <c r="A2299" i="1"/>
  <c r="A2585" i="1"/>
  <c r="A2001" i="1"/>
  <c r="A4446" i="1"/>
  <c r="A7799" i="1"/>
  <c r="A4530" i="1"/>
  <c r="A4032" i="1"/>
  <c r="A4031" i="1"/>
  <c r="A4030" i="1"/>
  <c r="A2569" i="1"/>
  <c r="A2563" i="1"/>
  <c r="A1434" i="1"/>
  <c r="A4348" i="1"/>
  <c r="A363" i="1"/>
  <c r="A665" i="1"/>
  <c r="A2336" i="1"/>
  <c r="A6719" i="1"/>
  <c r="A2433" i="1"/>
  <c r="A2482" i="1"/>
  <c r="A4769" i="1"/>
  <c r="A2481" i="1"/>
  <c r="A4592" i="1"/>
  <c r="A3807" i="1"/>
  <c r="A8513" i="1"/>
  <c r="A2478" i="1"/>
  <c r="A7396" i="1"/>
  <c r="A2480" i="1"/>
  <c r="A937" i="1"/>
  <c r="A480" i="1"/>
  <c r="A2351" i="1"/>
  <c r="A2455" i="1"/>
  <c r="A7333" i="1"/>
  <c r="A4029" i="1"/>
  <c r="A4028" i="1"/>
  <c r="A4027" i="1"/>
  <c r="A4026" i="1"/>
  <c r="A4025" i="1"/>
  <c r="A4024" i="1"/>
  <c r="A3406" i="1"/>
  <c r="A2440" i="1"/>
  <c r="A4442" i="1"/>
  <c r="A5413" i="1"/>
  <c r="A2432" i="1"/>
  <c r="A2431" i="1"/>
  <c r="A2430" i="1"/>
  <c r="A2429" i="1"/>
  <c r="A2428" i="1"/>
  <c r="A58" i="1"/>
  <c r="A989" i="1"/>
  <c r="A2374" i="1"/>
  <c r="A2373" i="1"/>
  <c r="A1296" i="1"/>
  <c r="A7782" i="1"/>
  <c r="A390" i="1"/>
  <c r="A2366" i="1"/>
  <c r="A127" i="1"/>
  <c r="A2365" i="1"/>
  <c r="A2707" i="1"/>
  <c r="A6572" i="1"/>
  <c r="A2770" i="1"/>
  <c r="A7412" i="1"/>
  <c r="A936" i="1"/>
  <c r="A2333" i="1"/>
  <c r="A2332" i="1"/>
  <c r="A2331" i="1"/>
  <c r="A2330" i="1"/>
  <c r="A2329" i="1"/>
  <c r="A2328" i="1"/>
  <c r="A5586" i="1"/>
  <c r="A1573" i="1"/>
  <c r="A4277" i="1"/>
  <c r="A4522" i="1"/>
  <c r="A8415" i="1"/>
  <c r="A4023" i="1"/>
  <c r="A6746" i="1"/>
  <c r="A6327" i="1"/>
  <c r="A6381" i="1"/>
  <c r="A8215" i="1"/>
  <c r="A2313" i="1"/>
  <c r="A5234" i="1"/>
  <c r="A5233" i="1"/>
  <c r="A935" i="1"/>
  <c r="A2221" i="1"/>
  <c r="A2220" i="1"/>
  <c r="A2219" i="1"/>
  <c r="A2218" i="1"/>
  <c r="A8321" i="1"/>
  <c r="A5407" i="1"/>
  <c r="A788" i="1"/>
  <c r="A2182" i="1"/>
  <c r="A2181" i="1"/>
  <c r="A2178" i="1"/>
  <c r="A2170" i="1"/>
  <c r="A3291" i="1"/>
  <c r="A2159" i="1"/>
  <c r="A5232" i="1"/>
  <c r="A1666" i="1"/>
  <c r="A8320" i="1"/>
  <c r="A2148" i="1"/>
  <c r="A2736" i="1"/>
  <c r="A7102" i="1"/>
  <c r="A78" i="1"/>
  <c r="A2584" i="1"/>
  <c r="A4168" i="1"/>
  <c r="A726" i="1"/>
  <c r="A3408" i="1"/>
  <c r="A7021" i="1"/>
  <c r="A5487" i="1"/>
  <c r="A2853" i="1"/>
  <c r="A7582" i="1"/>
  <c r="A2083" i="1"/>
  <c r="A2080" i="1"/>
  <c r="A2077" i="1"/>
  <c r="A2072" i="1"/>
  <c r="A7729" i="1"/>
  <c r="A3308" i="1"/>
  <c r="A121" i="1"/>
  <c r="A1946" i="1"/>
  <c r="A1945" i="1"/>
  <c r="A1944" i="1"/>
  <c r="A1914" i="1"/>
  <c r="A1596" i="1"/>
  <c r="A8528" i="1"/>
  <c r="A4022" i="1"/>
  <c r="A6738" i="1"/>
  <c r="A1164" i="1"/>
  <c r="A2883" i="1"/>
  <c r="A2028" i="1"/>
  <c r="A5606" i="1"/>
  <c r="A5231" i="1"/>
  <c r="A2023" i="1"/>
  <c r="A3032" i="1"/>
  <c r="A2000" i="1"/>
  <c r="A1258" i="1"/>
  <c r="A3348" i="1"/>
  <c r="A7931" i="1"/>
  <c r="A7241" i="1"/>
  <c r="A1693" i="1"/>
  <c r="A1976" i="1"/>
  <c r="A3081" i="1"/>
  <c r="A4742" i="1"/>
  <c r="A8412" i="1"/>
  <c r="A1969" i="1"/>
  <c r="A3186" i="1"/>
  <c r="A1774" i="1"/>
  <c r="A3964" i="1"/>
  <c r="A1773" i="1"/>
  <c r="A4628" i="1"/>
  <c r="A3413" i="1"/>
  <c r="A8056" i="1"/>
  <c r="A1433" i="1"/>
  <c r="A1432" i="1"/>
  <c r="A7619" i="1"/>
  <c r="A4076" i="1"/>
  <c r="A2061" i="1"/>
  <c r="A8401" i="1"/>
  <c r="A3331" i="1"/>
  <c r="A7429" i="1"/>
  <c r="A1935" i="1"/>
  <c r="A6753" i="1"/>
  <c r="A1923" i="1"/>
  <c r="A6412" i="1"/>
  <c r="A167" i="1"/>
  <c r="A4431" i="1"/>
  <c r="A4764" i="1"/>
  <c r="A1915" i="1"/>
  <c r="A6965" i="1"/>
  <c r="A5230" i="1"/>
  <c r="A1959" i="1"/>
  <c r="A7755" i="1"/>
  <c r="A4167" i="1"/>
  <c r="A2688" i="1"/>
  <c r="A1872" i="1"/>
  <c r="A6939" i="1"/>
  <c r="A6938" i="1"/>
  <c r="A7073" i="1"/>
  <c r="A6282" i="1"/>
  <c r="A1837" i="1"/>
  <c r="A1833" i="1"/>
  <c r="A311" i="1"/>
  <c r="A3572" i="1"/>
  <c r="A4087" i="1"/>
  <c r="A1823" i="1"/>
  <c r="A1822" i="1"/>
  <c r="A1820" i="1"/>
  <c r="A7625" i="1"/>
  <c r="A7624" i="1"/>
  <c r="A5598" i="1"/>
  <c r="A5597" i="1"/>
  <c r="A4021" i="1"/>
  <c r="A60" i="1"/>
  <c r="A1812" i="1"/>
  <c r="A1802" i="1"/>
  <c r="A1801" i="1"/>
  <c r="A1800" i="1"/>
  <c r="A7743" i="1"/>
  <c r="A7824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99" i="1"/>
  <c r="A1760" i="1"/>
  <c r="A1692" i="1"/>
  <c r="A932" i="1"/>
  <c r="A4683" i="1"/>
  <c r="A3148" i="1"/>
  <c r="A44" i="1"/>
  <c r="A43" i="1"/>
  <c r="A1661" i="1"/>
  <c r="A6558" i="1"/>
  <c r="A2139" i="1"/>
  <c r="A2138" i="1"/>
  <c r="A2137" i="1"/>
  <c r="A1640" i="1"/>
  <c r="A3118" i="1"/>
  <c r="A3117" i="1"/>
  <c r="A4776" i="1"/>
  <c r="A4407" i="1"/>
  <c r="A4420" i="1"/>
  <c r="A6445" i="1"/>
  <c r="A1894" i="1"/>
  <c r="A7761" i="1"/>
  <c r="A1604" i="1"/>
  <c r="A1562" i="1"/>
  <c r="A3709" i="1"/>
  <c r="A475" i="1"/>
  <c r="A7240" i="1"/>
  <c r="A3074" i="1"/>
  <c r="A1308" i="1"/>
  <c r="A104" i="1"/>
  <c r="A6668" i="1"/>
  <c r="A1486" i="1"/>
  <c r="A1548" i="1"/>
  <c r="A8319" i="1"/>
  <c r="A1547" i="1"/>
  <c r="A1546" i="1"/>
  <c r="A1545" i="1"/>
  <c r="A1544" i="1"/>
  <c r="A1543" i="1"/>
  <c r="A3375" i="1"/>
  <c r="A1517" i="1"/>
  <c r="A1026" i="1"/>
  <c r="A8354" i="1"/>
  <c r="A4166" i="1"/>
  <c r="A3621" i="1"/>
  <c r="A2462" i="1"/>
  <c r="A1505" i="1"/>
  <c r="A1442" i="1"/>
  <c r="A1061" i="1"/>
  <c r="A8344" i="1"/>
  <c r="A8565" i="1"/>
  <c r="A3271" i="1"/>
  <c r="A2987" i="1"/>
  <c r="A1431" i="1"/>
  <c r="A1430" i="1"/>
  <c r="A1485" i="1"/>
  <c r="A1429" i="1"/>
  <c r="A1484" i="1"/>
  <c r="A1428" i="1"/>
  <c r="A1483" i="1"/>
  <c r="A7543" i="1"/>
  <c r="A4136" i="1"/>
  <c r="A7066" i="1"/>
  <c r="A2269" i="1"/>
  <c r="A1219" i="1"/>
  <c r="A4563" i="1"/>
  <c r="A1460" i="1"/>
  <c r="A367" i="1"/>
  <c r="A3457" i="1"/>
  <c r="A5780" i="1"/>
  <c r="A1427" i="1"/>
  <c r="A1426" i="1"/>
  <c r="A1425" i="1"/>
  <c r="A4165" i="1"/>
  <c r="A1362" i="1"/>
  <c r="A8191" i="1"/>
  <c r="A1349" i="1"/>
  <c r="A6003" i="1"/>
  <c r="A1341" i="1"/>
  <c r="A1451" i="1"/>
  <c r="A1333" i="1"/>
  <c r="A1328" i="1"/>
  <c r="A2687" i="1"/>
  <c r="A6298" i="1"/>
  <c r="A1267" i="1"/>
  <c r="A1266" i="1"/>
  <c r="A3013" i="1"/>
  <c r="A1295" i="1"/>
  <c r="A1294" i="1"/>
  <c r="A5779" i="1"/>
  <c r="A1262" i="1"/>
  <c r="A1234" i="1"/>
  <c r="A1251" i="1"/>
  <c r="A1250" i="1"/>
  <c r="A4492" i="1"/>
  <c r="A1233" i="1"/>
  <c r="A1232" i="1"/>
  <c r="A1222" i="1"/>
  <c r="A5229" i="1"/>
  <c r="A1204" i="1"/>
  <c r="A1202" i="1"/>
  <c r="A1197" i="1"/>
  <c r="A1182" i="1"/>
  <c r="A3095" i="1"/>
  <c r="A5228" i="1"/>
  <c r="A5227" i="1"/>
  <c r="A5226" i="1"/>
  <c r="A8077" i="1"/>
  <c r="A2746" i="1"/>
  <c r="A158" i="1"/>
  <c r="A4468" i="1"/>
  <c r="A1153" i="1"/>
  <c r="A6161" i="1"/>
  <c r="A1146" i="1"/>
  <c r="A1144" i="1"/>
  <c r="A1133" i="1"/>
  <c r="A4356" i="1"/>
  <c r="A304" i="1"/>
  <c r="A1834" i="1"/>
  <c r="A1129" i="1"/>
  <c r="A353" i="1"/>
  <c r="A6326" i="1"/>
  <c r="A1871" i="1"/>
  <c r="A3620" i="1"/>
  <c r="A4229" i="1"/>
  <c r="A8543" i="1"/>
  <c r="A1327" i="1"/>
  <c r="A1060" i="1"/>
  <c r="A1588" i="1"/>
  <c r="A2011" i="1"/>
  <c r="A8176" i="1"/>
  <c r="A1049" i="1"/>
  <c r="A1048" i="1"/>
  <c r="A1037" i="1"/>
  <c r="A1025" i="1"/>
  <c r="A2278" i="1"/>
  <c r="A1018" i="1"/>
  <c r="A1017" i="1"/>
  <c r="A7428" i="1"/>
  <c r="A1004" i="1"/>
  <c r="A1003" i="1"/>
  <c r="A991" i="1"/>
  <c r="A8220" i="1"/>
  <c r="A984" i="1"/>
  <c r="A983" i="1"/>
  <c r="A982" i="1"/>
  <c r="A981" i="1"/>
  <c r="A980" i="1"/>
  <c r="A979" i="1"/>
  <c r="A978" i="1"/>
  <c r="A944" i="1"/>
  <c r="A942" i="1"/>
  <c r="A4535" i="1"/>
  <c r="A1148" i="1"/>
  <c r="A5225" i="1"/>
  <c r="A920" i="1"/>
  <c r="A925" i="1"/>
  <c r="A865" i="1"/>
  <c r="A864" i="1"/>
  <c r="A3726" i="1"/>
  <c r="A7074" i="1"/>
  <c r="A859" i="1"/>
  <c r="A834" i="1"/>
  <c r="A801" i="1"/>
  <c r="A796" i="1"/>
  <c r="A2296" i="1"/>
  <c r="A792" i="1"/>
  <c r="A789" i="1"/>
  <c r="A7158" i="1"/>
  <c r="A786" i="1"/>
  <c r="A4305" i="1"/>
  <c r="A537" i="1"/>
  <c r="A631" i="1"/>
  <c r="A764" i="1"/>
  <c r="A760" i="1"/>
  <c r="A759" i="1"/>
  <c r="A750" i="1"/>
  <c r="A758" i="1"/>
  <c r="A5783" i="1"/>
  <c r="A3619" i="1"/>
  <c r="A3618" i="1"/>
  <c r="A6474" i="1"/>
  <c r="A710" i="1"/>
  <c r="A709" i="1"/>
  <c r="A708" i="1"/>
  <c r="A4020" i="1"/>
  <c r="A2814" i="1"/>
  <c r="A59" i="1"/>
  <c r="A835" i="1"/>
  <c r="A689" i="1"/>
  <c r="A4218" i="1"/>
  <c r="A4075" i="1"/>
  <c r="A1424" i="1"/>
  <c r="A5224" i="1"/>
  <c r="A664" i="1"/>
  <c r="A663" i="1"/>
  <c r="A634" i="1"/>
  <c r="A6869" i="1"/>
  <c r="A628" i="1"/>
  <c r="A627" i="1"/>
  <c r="A626" i="1"/>
  <c r="A613" i="1"/>
  <c r="A614" i="1"/>
  <c r="A549" i="1"/>
  <c r="A603" i="1"/>
  <c r="A602" i="1"/>
  <c r="A601" i="1"/>
  <c r="A533" i="1"/>
  <c r="A331" i="1"/>
  <c r="A530" i="1"/>
  <c r="A527" i="1"/>
  <c r="A727" i="1"/>
  <c r="A490" i="1"/>
  <c r="A518" i="1"/>
  <c r="A2982" i="1"/>
  <c r="A387" i="1"/>
  <c r="A2745" i="1"/>
  <c r="A1154" i="1"/>
  <c r="A6040" i="1"/>
  <c r="A1999" i="1"/>
  <c r="A54" i="1"/>
  <c r="A2777" i="1"/>
  <c r="A795" i="1"/>
  <c r="A470" i="1"/>
  <c r="A7754" i="1"/>
  <c r="A463" i="1"/>
  <c r="A7441" i="1"/>
  <c r="A429" i="1"/>
  <c r="A452" i="1"/>
  <c r="A428" i="1"/>
  <c r="A427" i="1"/>
  <c r="A6588" i="1"/>
  <c r="A8017" i="1"/>
  <c r="A383" i="1"/>
  <c r="A382" i="1"/>
  <c r="A381" i="1"/>
  <c r="A373" i="1"/>
  <c r="A362" i="1"/>
  <c r="A355" i="1"/>
  <c r="A1102" i="1"/>
  <c r="A1759" i="1"/>
  <c r="A7244" i="1"/>
  <c r="A335" i="1"/>
  <c r="A308" i="1"/>
  <c r="A307" i="1"/>
  <c r="A4114" i="1"/>
  <c r="A155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5223" i="1"/>
  <c r="A166" i="1"/>
  <c r="A2864" i="1"/>
  <c r="A5222" i="1"/>
  <c r="A1514" i="1"/>
  <c r="A6325" i="1"/>
  <c r="A5960" i="1"/>
  <c r="A291" i="1"/>
  <c r="A5307" i="1"/>
  <c r="A297" i="1"/>
  <c r="A142" i="1"/>
  <c r="A1806" i="1"/>
  <c r="A1805" i="1"/>
  <c r="A1804" i="1"/>
  <c r="A126" i="1"/>
  <c r="A103" i="1"/>
  <c r="A5596" i="1"/>
  <c r="A102" i="1"/>
  <c r="A23" i="1"/>
  <c r="A5221" i="1"/>
  <c r="A2929" i="1"/>
  <c r="A4543" i="1"/>
  <c r="A247" i="1"/>
  <c r="A122" i="1"/>
  <c r="A364" i="1"/>
  <c r="A687" i="1"/>
  <c r="A357" i="1"/>
  <c r="A84" i="1"/>
  <c r="A3073" i="1"/>
  <c r="A4019" i="1"/>
  <c r="A4164" i="1"/>
  <c r="A1423" i="1"/>
  <c r="A7395" i="1"/>
  <c r="A42" i="1"/>
  <c r="A41" i="1"/>
  <c r="A19" i="1"/>
  <c r="A2899" i="1"/>
  <c r="A6637" i="1"/>
  <c r="A6636" i="1"/>
  <c r="A8129" i="1"/>
  <c r="A8583" i="1"/>
  <c r="A333" i="1"/>
  <c r="A8577" i="1"/>
  <c r="A8573" i="1"/>
  <c r="A8571" i="1"/>
  <c r="A3270" i="1"/>
  <c r="A8542" i="1"/>
  <c r="A8541" i="1"/>
  <c r="A8514" i="1"/>
  <c r="A8496" i="1"/>
  <c r="A8495" i="1"/>
  <c r="A3207" i="1"/>
  <c r="A8484" i="1"/>
  <c r="A8483" i="1"/>
  <c r="A3860" i="1"/>
  <c r="A3859" i="1"/>
  <c r="A8476" i="1"/>
  <c r="A6618" i="1"/>
  <c r="A8473" i="1"/>
  <c r="A4588" i="1"/>
  <c r="A2217" i="1"/>
  <c r="A4545" i="1"/>
  <c r="A8364" i="1"/>
  <c r="A3318" i="1"/>
  <c r="A8436" i="1"/>
  <c r="A8428" i="1"/>
  <c r="A3833" i="1"/>
  <c r="A6455" i="1"/>
  <c r="A7621" i="1"/>
  <c r="A1998" i="1"/>
  <c r="A5220" i="1"/>
  <c r="A5219" i="1"/>
  <c r="A6919" i="1"/>
  <c r="A5218" i="1"/>
  <c r="A5217" i="1"/>
  <c r="A332" i="1"/>
  <c r="A8403" i="1"/>
  <c r="A6286" i="1"/>
  <c r="A5977" i="1"/>
  <c r="A8377" i="1"/>
  <c r="A8343" i="1"/>
  <c r="A2518" i="1"/>
  <c r="A2838" i="1"/>
  <c r="A3963" i="1"/>
  <c r="A7730" i="1"/>
  <c r="A8368" i="1"/>
  <c r="A6160" i="1"/>
  <c r="A8367" i="1"/>
  <c r="A1758" i="1"/>
  <c r="A374" i="1"/>
  <c r="A5594" i="1"/>
  <c r="A8318" i="1"/>
  <c r="A3333" i="1"/>
  <c r="A5536" i="1"/>
  <c r="A8366" i="1"/>
  <c r="A8355" i="1"/>
  <c r="A7510" i="1"/>
  <c r="A695" i="1"/>
  <c r="A5750" i="1"/>
  <c r="A8278" i="1"/>
  <c r="A1163" i="1"/>
  <c r="A8262" i="1"/>
  <c r="A8261" i="1"/>
  <c r="A8260" i="1"/>
  <c r="A8259" i="1"/>
  <c r="A5216" i="1"/>
  <c r="A5215" i="1"/>
  <c r="A5214" i="1"/>
  <c r="A4733" i="1"/>
  <c r="A5213" i="1"/>
  <c r="A5657" i="1"/>
  <c r="A8192" i="1"/>
  <c r="A826" i="1"/>
  <c r="A1757" i="1"/>
  <c r="A2248" i="1"/>
  <c r="A8188" i="1"/>
  <c r="A7251" i="1"/>
  <c r="A8180" i="1"/>
  <c r="A8178" i="1"/>
  <c r="A8175" i="1"/>
  <c r="A7895" i="1"/>
  <c r="A5358" i="1"/>
  <c r="A4959" i="1"/>
  <c r="A1422" i="1"/>
  <c r="A8119" i="1"/>
  <c r="A8115" i="1"/>
  <c r="A5451" i="1"/>
  <c r="A8094" i="1"/>
  <c r="A1216" i="1"/>
  <c r="A2647" i="1"/>
  <c r="A7722" i="1"/>
  <c r="A4486" i="1"/>
  <c r="A5880" i="1"/>
  <c r="A8069" i="1"/>
  <c r="A7781" i="1"/>
  <c r="A8047" i="1"/>
  <c r="A8042" i="1"/>
  <c r="A8091" i="1"/>
  <c r="A8034" i="1"/>
  <c r="A4018" i="1"/>
  <c r="A6617" i="1"/>
  <c r="A2141" i="1"/>
  <c r="A1756" i="1"/>
  <c r="A7163" i="1"/>
  <c r="A8004" i="1"/>
  <c r="A8003" i="1"/>
  <c r="A6759" i="1"/>
  <c r="A2091" i="1"/>
  <c r="A5212" i="1"/>
  <c r="A7993" i="1"/>
  <c r="A8174" i="1"/>
  <c r="A1461" i="1"/>
  <c r="A7112" i="1"/>
  <c r="A7985" i="1"/>
  <c r="A341" i="1"/>
  <c r="A1938" i="1"/>
  <c r="A6380" i="1"/>
  <c r="A7933" i="1"/>
  <c r="A7826" i="1"/>
  <c r="A4221" i="1"/>
  <c r="A7911" i="1"/>
  <c r="A4347" i="1"/>
  <c r="A4790" i="1"/>
  <c r="A4789" i="1"/>
  <c r="A4788" i="1"/>
  <c r="A4787" i="1"/>
  <c r="A4786" i="1"/>
  <c r="A4785" i="1"/>
  <c r="A4784" i="1"/>
  <c r="A4783" i="1"/>
  <c r="A4782" i="1"/>
  <c r="A4017" i="1"/>
  <c r="A4332" i="1"/>
  <c r="A7962" i="1"/>
  <c r="A4362" i="1"/>
  <c r="A2999" i="1"/>
  <c r="A2998" i="1"/>
  <c r="A2997" i="1"/>
  <c r="A2996" i="1"/>
  <c r="A2995" i="1"/>
  <c r="A2994" i="1"/>
  <c r="A7888" i="1"/>
  <c r="A7875" i="1"/>
  <c r="A148" i="1"/>
  <c r="A7869" i="1"/>
  <c r="A3664" i="1"/>
  <c r="A3962" i="1"/>
  <c r="A7392" i="1"/>
  <c r="A2744" i="1"/>
  <c r="A5848" i="1"/>
  <c r="A7851" i="1"/>
  <c r="A7850" i="1"/>
  <c r="A6208" i="1"/>
  <c r="A5724" i="1"/>
  <c r="A7279" i="1"/>
  <c r="A3675" i="1"/>
  <c r="A7747" i="1"/>
  <c r="A7745" i="1"/>
  <c r="A617" i="1"/>
  <c r="A2059" i="1"/>
  <c r="A7974" i="1"/>
  <c r="A22" i="1"/>
  <c r="A7736" i="1"/>
  <c r="A7709" i="1"/>
  <c r="A7900" i="1"/>
  <c r="A4273" i="1"/>
  <c r="A7682" i="1"/>
  <c r="A7659" i="1"/>
  <c r="A2065" i="1"/>
  <c r="A7655" i="1"/>
  <c r="A2465" i="1"/>
  <c r="A4479" i="1"/>
  <c r="A4378" i="1"/>
  <c r="A3592" i="1"/>
  <c r="A5504" i="1"/>
  <c r="A5211" i="1"/>
  <c r="A6524" i="1"/>
  <c r="A1421" i="1"/>
  <c r="A662" i="1"/>
  <c r="A5574" i="1"/>
  <c r="A1974" i="1"/>
  <c r="A6010" i="1"/>
  <c r="A5465" i="1"/>
  <c r="A4562" i="1"/>
  <c r="A4278" i="1"/>
  <c r="A6252" i="1"/>
  <c r="A7593" i="1"/>
  <c r="A7592" i="1"/>
  <c r="A7591" i="1"/>
  <c r="A4725" i="1"/>
  <c r="A5791" i="1"/>
  <c r="A7427" i="1"/>
  <c r="A6865" i="1"/>
  <c r="A6961" i="1"/>
  <c r="A7478" i="1"/>
  <c r="A3093" i="1"/>
  <c r="A3456" i="1"/>
  <c r="A1420" i="1"/>
  <c r="A1419" i="1"/>
  <c r="A3269" i="1"/>
  <c r="A3961" i="1"/>
  <c r="A7101" i="1"/>
  <c r="A7100" i="1"/>
  <c r="A7099" i="1"/>
  <c r="A6411" i="1"/>
  <c r="A6560" i="1"/>
  <c r="A3697" i="1"/>
  <c r="A7497" i="1"/>
  <c r="A7499" i="1"/>
  <c r="A3268" i="1"/>
  <c r="A4832" i="1"/>
  <c r="A1360" i="1"/>
  <c r="A4300" i="1"/>
  <c r="A8272" i="1"/>
  <c r="A7472" i="1"/>
  <c r="A7470" i="1"/>
  <c r="A2115" i="1"/>
  <c r="A3361" i="1"/>
  <c r="A177" i="1"/>
  <c r="A1511" i="1"/>
  <c r="A176" i="1"/>
  <c r="A8158" i="1"/>
  <c r="A5486" i="1"/>
  <c r="A6828" i="1"/>
  <c r="A7420" i="1"/>
  <c r="A1997" i="1"/>
  <c r="A7387" i="1"/>
  <c r="A495" i="1"/>
  <c r="A7391" i="1"/>
  <c r="A6159" i="1"/>
  <c r="A6655" i="1"/>
  <c r="A2311" i="1"/>
  <c r="A8554" i="1"/>
  <c r="A8527" i="1"/>
  <c r="A4113" i="1"/>
  <c r="A2802" i="1"/>
  <c r="A2801" i="1"/>
  <c r="A7306" i="1"/>
  <c r="A3702" i="1"/>
  <c r="A5210" i="1"/>
  <c r="A7270" i="1"/>
  <c r="A6924" i="1"/>
  <c r="A6856" i="1"/>
  <c r="A6855" i="1"/>
  <c r="A4016" i="1"/>
  <c r="A3387" i="1"/>
  <c r="A4477" i="1"/>
  <c r="A7248" i="1"/>
  <c r="A3591" i="1"/>
  <c r="A6534" i="1"/>
  <c r="A5353" i="1"/>
  <c r="A4246" i="1"/>
  <c r="A4193" i="1"/>
  <c r="A7208" i="1"/>
  <c r="A5209" i="1"/>
  <c r="A5208" i="1"/>
  <c r="A1884" i="1"/>
  <c r="A4015" i="1"/>
  <c r="A4483" i="1"/>
  <c r="A3590" i="1"/>
  <c r="A3960" i="1"/>
  <c r="A3734" i="1"/>
  <c r="A2993" i="1"/>
  <c r="A7193" i="1"/>
  <c r="A8187" i="1"/>
  <c r="A2974" i="1"/>
  <c r="A7184" i="1"/>
  <c r="A7181" i="1"/>
  <c r="A7179" i="1"/>
  <c r="A5485" i="1"/>
  <c r="A4014" i="1"/>
  <c r="A7175" i="1"/>
  <c r="A4013" i="1"/>
  <c r="A4012" i="1"/>
  <c r="A2247" i="1"/>
  <c r="A7166" i="1"/>
  <c r="A1913" i="1"/>
  <c r="A7937" i="1"/>
  <c r="A8431" i="1"/>
  <c r="A7152" i="1"/>
  <c r="A1166" i="1"/>
  <c r="A7120" i="1"/>
  <c r="A806" i="1"/>
  <c r="A7206" i="1"/>
  <c r="A7065" i="1"/>
  <c r="A7048" i="1"/>
  <c r="A7047" i="1"/>
  <c r="A7038" i="1"/>
  <c r="A7030" i="1"/>
  <c r="A7022" i="1"/>
  <c r="A7020" i="1"/>
  <c r="A7019" i="1"/>
  <c r="A3123" i="1"/>
  <c r="A6931" i="1"/>
  <c r="A7003" i="1"/>
  <c r="A1880" i="1"/>
  <c r="A6974" i="1"/>
  <c r="A53" i="1"/>
  <c r="A6905" i="1"/>
  <c r="A6904" i="1"/>
  <c r="A6899" i="1"/>
  <c r="A1619" i="1"/>
  <c r="A6874" i="1"/>
  <c r="A5605" i="1"/>
  <c r="A4360" i="1"/>
  <c r="A1089" i="1"/>
  <c r="A3704" i="1"/>
  <c r="A4011" i="1"/>
  <c r="A5207" i="1"/>
  <c r="A8190" i="1"/>
  <c r="A7486" i="1"/>
  <c r="A4910" i="1"/>
  <c r="A6842" i="1"/>
  <c r="A6841" i="1"/>
  <c r="A6801" i="1"/>
  <c r="A6800" i="1"/>
  <c r="A6799" i="1"/>
  <c r="A6798" i="1"/>
  <c r="A6775" i="1"/>
  <c r="A6778" i="1"/>
  <c r="A994" i="1"/>
  <c r="A3959" i="1"/>
  <c r="A3958" i="1"/>
  <c r="A3957" i="1"/>
  <c r="A7601" i="1"/>
  <c r="A7600" i="1"/>
  <c r="A6743" i="1"/>
  <c r="A3370" i="1"/>
  <c r="A6730" i="1"/>
  <c r="A6999" i="1"/>
  <c r="A661" i="1"/>
  <c r="A5694" i="1"/>
  <c r="A2821" i="1"/>
  <c r="A1890" i="1"/>
  <c r="A40" i="1"/>
  <c r="A6711" i="1"/>
  <c r="A7739" i="1"/>
  <c r="A1195" i="1"/>
  <c r="A6634" i="1"/>
  <c r="A7139" i="1"/>
  <c r="A660" i="1"/>
  <c r="A3185" i="1"/>
  <c r="A3184" i="1"/>
  <c r="A6638" i="1"/>
  <c r="A1128" i="1"/>
  <c r="A5206" i="1"/>
  <c r="A6613" i="1"/>
  <c r="A3956" i="1"/>
  <c r="A3134" i="1"/>
  <c r="A5990" i="1"/>
  <c r="A6601" i="1"/>
  <c r="A6324" i="1"/>
  <c r="A2923" i="1"/>
  <c r="A3267" i="1"/>
  <c r="A1147" i="1"/>
  <c r="A1057" i="1"/>
  <c r="A4253" i="1"/>
  <c r="A2849" i="1"/>
  <c r="A7538" i="1"/>
  <c r="A7426" i="1"/>
  <c r="A5205" i="1"/>
  <c r="A7618" i="1"/>
  <c r="A2081" i="1"/>
  <c r="A2666" i="1"/>
  <c r="A1542" i="1"/>
  <c r="A3832" i="1"/>
  <c r="A5785" i="1"/>
  <c r="A1194" i="1"/>
  <c r="A7138" i="1"/>
  <c r="A4529" i="1"/>
  <c r="A7573" i="1"/>
  <c r="A4010" i="1"/>
  <c r="A3955" i="1"/>
  <c r="A3696" i="1"/>
  <c r="A7956" i="1"/>
  <c r="A5204" i="1"/>
  <c r="A1687" i="1"/>
  <c r="A6297" i="1"/>
  <c r="A4355" i="1"/>
  <c r="A1958" i="1"/>
  <c r="A1957" i="1"/>
  <c r="A4728" i="1"/>
  <c r="A4135" i="1"/>
  <c r="A7350" i="1"/>
  <c r="A7187" i="1"/>
  <c r="A5525" i="1"/>
  <c r="A4467" i="1"/>
  <c r="A4958" i="1"/>
  <c r="A4957" i="1"/>
  <c r="A6466" i="1"/>
  <c r="A2701" i="1"/>
  <c r="A6378" i="1"/>
  <c r="A525" i="1"/>
  <c r="A1366" i="1"/>
  <c r="A6052" i="1"/>
  <c r="A6410" i="1"/>
  <c r="A6374" i="1"/>
  <c r="A5450" i="1"/>
  <c r="A6359" i="1"/>
  <c r="A6758" i="1"/>
  <c r="A6346" i="1"/>
  <c r="A6340" i="1"/>
  <c r="A3183" i="1"/>
  <c r="A2517" i="1"/>
  <c r="A6285" i="1"/>
  <c r="A3214" i="1"/>
  <c r="A6247" i="1"/>
  <c r="A6242" i="1"/>
  <c r="A1996" i="1"/>
  <c r="A4437" i="1"/>
  <c r="A6223" i="1"/>
  <c r="A6218" i="1"/>
  <c r="A5203" i="1"/>
  <c r="A4803" i="1"/>
  <c r="A3854" i="1"/>
  <c r="A7386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4689" i="1"/>
  <c r="A8173" i="1"/>
  <c r="A1418" i="1"/>
  <c r="A6034" i="1"/>
  <c r="A6032" i="1"/>
  <c r="A4587" i="1"/>
  <c r="A6031" i="1"/>
  <c r="A6030" i="1"/>
  <c r="A8090" i="1"/>
  <c r="A8033" i="1"/>
  <c r="A2216" i="1"/>
  <c r="A3004" i="1"/>
  <c r="A4009" i="1"/>
  <c r="A5984" i="1"/>
  <c r="A5976" i="1"/>
  <c r="A5973" i="1"/>
  <c r="A4561" i="1"/>
  <c r="A799" i="1"/>
  <c r="A5962" i="1"/>
  <c r="A1417" i="1"/>
  <c r="A5639" i="1"/>
  <c r="A3647" i="1"/>
  <c r="A5924" i="1"/>
  <c r="A5901" i="1"/>
  <c r="A5890" i="1"/>
  <c r="A5868" i="1"/>
  <c r="A5867" i="1"/>
  <c r="A5866" i="1"/>
  <c r="A5865" i="1"/>
  <c r="A5202" i="1"/>
  <c r="A4930" i="1"/>
  <c r="A324" i="1"/>
  <c r="A3653" i="1"/>
  <c r="A5800" i="1"/>
  <c r="A1703" i="1"/>
  <c r="A7324" i="1"/>
  <c r="A5854" i="1"/>
  <c r="A2016" i="1"/>
  <c r="A5789" i="1"/>
  <c r="A5753" i="1"/>
  <c r="A5749" i="1"/>
  <c r="A5740" i="1"/>
  <c r="A5660" i="1"/>
  <c r="A3129" i="1"/>
  <c r="A5729" i="1"/>
  <c r="A5728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7385" i="1"/>
  <c r="A7779" i="1"/>
  <c r="A1450" i="1"/>
  <c r="A7384" i="1"/>
  <c r="A1948" i="1"/>
  <c r="A5666" i="1"/>
  <c r="A5968" i="1"/>
  <c r="A5638" i="1"/>
  <c r="A7943" i="1"/>
  <c r="A343" i="1"/>
  <c r="A5604" i="1"/>
  <c r="A5603" i="1"/>
  <c r="A6665" i="1"/>
  <c r="A4008" i="1"/>
  <c r="A5573" i="1"/>
  <c r="A5572" i="1"/>
  <c r="A6241" i="1"/>
  <c r="A5548" i="1"/>
  <c r="A351" i="1"/>
  <c r="A2246" i="1"/>
  <c r="A5524" i="1"/>
  <c r="A2310" i="1"/>
  <c r="A4293" i="1"/>
  <c r="A5484" i="1"/>
  <c r="A5547" i="1"/>
  <c r="A7508" i="1"/>
  <c r="A5474" i="1"/>
  <c r="A5473" i="1"/>
  <c r="A5459" i="1"/>
  <c r="A5439" i="1"/>
  <c r="A5437" i="1"/>
  <c r="A5438" i="1"/>
  <c r="A2627" i="1"/>
  <c r="A4007" i="1"/>
  <c r="A1677" i="1"/>
  <c r="A8510" i="1"/>
  <c r="A5683" i="1"/>
  <c r="A93" i="1"/>
  <c r="A8040" i="1"/>
  <c r="A8172" i="1"/>
  <c r="A4334" i="1"/>
  <c r="A2727" i="1"/>
  <c r="A6991" i="1"/>
  <c r="A5363" i="1"/>
  <c r="A5352" i="1"/>
  <c r="A5348" i="1"/>
  <c r="A5340" i="1"/>
  <c r="A416" i="1"/>
  <c r="A861" i="1"/>
  <c r="A1961" i="1"/>
  <c r="A1960" i="1"/>
  <c r="A5332" i="1"/>
  <c r="A5449" i="1"/>
  <c r="A2516" i="1"/>
  <c r="A5306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7328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4956" i="1"/>
  <c r="A4955" i="1"/>
  <c r="A4926" i="1"/>
  <c r="A5495" i="1"/>
  <c r="A6701" i="1"/>
  <c r="A6253" i="1"/>
  <c r="A1261" i="1"/>
  <c r="A7597" i="1"/>
  <c r="A4886" i="1"/>
  <c r="A1416" i="1"/>
  <c r="A5506" i="1"/>
  <c r="A8098" i="1"/>
  <c r="A7458" i="1"/>
  <c r="A4829" i="1"/>
  <c r="A4828" i="1"/>
  <c r="A4827" i="1"/>
  <c r="A4826" i="1"/>
  <c r="A4825" i="1"/>
  <c r="A4279" i="1"/>
  <c r="A4816" i="1"/>
  <c r="A1002" i="1"/>
  <c r="A4966" i="1"/>
  <c r="A3571" i="1"/>
  <c r="A401" i="1"/>
  <c r="A4798" i="1"/>
  <c r="A4797" i="1"/>
  <c r="A4792" i="1"/>
  <c r="A1441" i="1"/>
  <c r="A4766" i="1"/>
  <c r="A4765" i="1"/>
  <c r="A4774" i="1"/>
  <c r="A2283" i="1"/>
  <c r="A2163" i="1"/>
  <c r="A4741" i="1"/>
  <c r="A2823" i="1"/>
  <c r="A4727" i="1"/>
  <c r="A5501" i="1"/>
  <c r="A5855" i="1"/>
  <c r="A8167" i="1"/>
  <c r="A4688" i="1"/>
  <c r="A4686" i="1"/>
  <c r="A659" i="1"/>
  <c r="A6369" i="1"/>
  <c r="A7046" i="1"/>
  <c r="A7137" i="1"/>
  <c r="A1143" i="1"/>
  <c r="A4661" i="1"/>
  <c r="A4654" i="1"/>
  <c r="A4648" i="1"/>
  <c r="A4646" i="1"/>
  <c r="A4192" i="1"/>
  <c r="A7" i="1"/>
  <c r="A6" i="1"/>
  <c r="A822" i="1"/>
  <c r="A4627" i="1"/>
  <c r="A3196" i="1"/>
  <c r="A4619" i="1"/>
  <c r="A4618" i="1"/>
  <c r="A4608" i="1"/>
  <c r="A600" i="1"/>
  <c r="A5166" i="1"/>
  <c r="A4604" i="1"/>
  <c r="A7205" i="1"/>
  <c r="A4595" i="1"/>
  <c r="A3838" i="1"/>
  <c r="A8163" i="1"/>
  <c r="A2108" i="1"/>
  <c r="A4566" i="1"/>
  <c r="A4565" i="1"/>
  <c r="A3327" i="1"/>
  <c r="A4555" i="1"/>
  <c r="A3266" i="1"/>
  <c r="A5343" i="1"/>
  <c r="A1498" i="1"/>
  <c r="A4508" i="1"/>
  <c r="A4006" i="1"/>
  <c r="A3160" i="1"/>
  <c r="A4579" i="1"/>
  <c r="A7744" i="1"/>
  <c r="A4463" i="1"/>
  <c r="A1136" i="1"/>
  <c r="A4451" i="1"/>
  <c r="A8459" i="1"/>
  <c r="A4402" i="1"/>
  <c r="A3631" i="1"/>
  <c r="A5390" i="1"/>
  <c r="A658" i="1"/>
  <c r="A334" i="1"/>
  <c r="A4361" i="1"/>
  <c r="A4357" i="1"/>
  <c r="A365" i="1"/>
  <c r="A5165" i="1"/>
  <c r="A3182" i="1"/>
  <c r="A3181" i="1"/>
  <c r="A6576" i="1"/>
  <c r="A4322" i="1"/>
  <c r="A4319" i="1"/>
  <c r="A246" i="1"/>
  <c r="A6016" i="1"/>
  <c r="A4310" i="1"/>
  <c r="A328" i="1"/>
  <c r="A7696" i="1"/>
  <c r="A1854" i="1"/>
  <c r="A4252" i="1"/>
  <c r="A4235" i="1"/>
  <c r="A3455" i="1"/>
  <c r="A2614" i="1"/>
  <c r="A4005" i="1"/>
  <c r="A2613" i="1"/>
  <c r="A7773" i="1"/>
  <c r="A3589" i="1"/>
  <c r="A8214" i="1"/>
  <c r="A6146" i="1"/>
  <c r="A330" i="1"/>
  <c r="A4231" i="1"/>
  <c r="A7136" i="1"/>
  <c r="A4208" i="1"/>
  <c r="A3084" i="1"/>
  <c r="A4191" i="1"/>
  <c r="A4190" i="1"/>
  <c r="A6605" i="1"/>
  <c r="A4189" i="1"/>
  <c r="A1220" i="1"/>
  <c r="A3454" i="1"/>
  <c r="A3976" i="1"/>
  <c r="A4119" i="1"/>
  <c r="A8224" i="1"/>
  <c r="A2458" i="1"/>
  <c r="A4234" i="1"/>
  <c r="A4105" i="1"/>
  <c r="A4103" i="1"/>
  <c r="A4195" i="1"/>
  <c r="A1024" i="1"/>
  <c r="A4099" i="1"/>
  <c r="A657" i="1"/>
  <c r="A977" i="1"/>
  <c r="A827" i="1"/>
  <c r="A4004" i="1"/>
  <c r="A4003" i="1"/>
  <c r="A4002" i="1"/>
  <c r="A4001" i="1"/>
  <c r="A3954" i="1"/>
  <c r="A3953" i="1"/>
  <c r="A3952" i="1"/>
  <c r="A3951" i="1"/>
  <c r="A3950" i="1"/>
  <c r="A3011" i="1"/>
  <c r="A3831" i="1"/>
  <c r="A3725" i="1"/>
  <c r="A3724" i="1"/>
  <c r="A3723" i="1"/>
  <c r="A7930" i="1"/>
  <c r="A6879" i="1"/>
  <c r="A2966" i="1"/>
  <c r="A2657" i="1"/>
  <c r="A4916" i="1"/>
  <c r="A2515" i="1"/>
  <c r="A2703" i="1"/>
  <c r="A3703" i="1"/>
  <c r="A1853" i="1"/>
  <c r="A5907" i="1"/>
  <c r="A5164" i="1"/>
  <c r="A858" i="1"/>
  <c r="A5448" i="1"/>
  <c r="A8151" i="1"/>
  <c r="A3663" i="1"/>
  <c r="A3771" i="1"/>
  <c r="A3764" i="1"/>
  <c r="A3756" i="1"/>
  <c r="A3116" i="1"/>
  <c r="A1541" i="1"/>
  <c r="A3722" i="1"/>
  <c r="A7054" i="1"/>
  <c r="A3695" i="1"/>
  <c r="A4304" i="1"/>
  <c r="A3680" i="1"/>
  <c r="A3949" i="1"/>
  <c r="A3948" i="1"/>
  <c r="A3396" i="1"/>
  <c r="A5163" i="1"/>
  <c r="A4000" i="1"/>
  <c r="A3494" i="1"/>
  <c r="A3649" i="1"/>
  <c r="A1560" i="1"/>
  <c r="A3549" i="1"/>
  <c r="A3630" i="1"/>
  <c r="A3453" i="1"/>
  <c r="A3617" i="1"/>
  <c r="A2215" i="1"/>
  <c r="A5162" i="1"/>
  <c r="A3562" i="1"/>
  <c r="A3552" i="1"/>
  <c r="A3514" i="1"/>
  <c r="A3492" i="1"/>
  <c r="A3476" i="1"/>
  <c r="A3452" i="1"/>
  <c r="A3451" i="1"/>
  <c r="A3450" i="1"/>
  <c r="A3449" i="1"/>
  <c r="A6409" i="1"/>
  <c r="A3535" i="1"/>
  <c r="A5900" i="1"/>
  <c r="A3395" i="1"/>
  <c r="A4228" i="1"/>
  <c r="A4280" i="1"/>
  <c r="A3365" i="1"/>
  <c r="A3398" i="1"/>
  <c r="A3357" i="1"/>
  <c r="A3339" i="1"/>
  <c r="A1685" i="1"/>
  <c r="A6014" i="1"/>
  <c r="A4954" i="1"/>
  <c r="A599" i="1"/>
  <c r="A3326" i="1"/>
  <c r="A3305" i="1"/>
  <c r="A8317" i="1"/>
  <c r="A3296" i="1"/>
  <c r="A3289" i="1"/>
  <c r="A3265" i="1"/>
  <c r="A3282" i="1"/>
  <c r="A3264" i="1"/>
  <c r="A3263" i="1"/>
  <c r="A3236" i="1"/>
  <c r="A7768" i="1"/>
  <c r="A3235" i="1"/>
  <c r="A3031" i="1"/>
  <c r="A3225" i="1"/>
  <c r="A3030" i="1"/>
  <c r="A3029" i="1"/>
  <c r="A7767" i="1"/>
  <c r="A5755" i="1"/>
  <c r="A3192" i="1"/>
  <c r="A3262" i="1"/>
  <c r="A3180" i="1"/>
  <c r="A3179" i="1"/>
  <c r="A3178" i="1"/>
  <c r="A736" i="1"/>
  <c r="A7765" i="1"/>
  <c r="A3149" i="1"/>
  <c r="A4778" i="1"/>
  <c r="A5980" i="1"/>
  <c r="A3146" i="1"/>
  <c r="A1755" i="1"/>
  <c r="A1676" i="1"/>
  <c r="A3126" i="1"/>
  <c r="A3825" i="1"/>
  <c r="A1050" i="1"/>
  <c r="A1663" i="1"/>
  <c r="A4730" i="1"/>
  <c r="A7760" i="1"/>
  <c r="A8472" i="1"/>
  <c r="A3039" i="1"/>
  <c r="A2554" i="1"/>
  <c r="A3805" i="1"/>
  <c r="A3016" i="1"/>
  <c r="A2826" i="1"/>
  <c r="A3947" i="1"/>
  <c r="A3006" i="1"/>
  <c r="A3063" i="1"/>
  <c r="A1293" i="1"/>
  <c r="A4311" i="1"/>
  <c r="A6492" i="1"/>
  <c r="A8363" i="1"/>
  <c r="A2981" i="1"/>
  <c r="A4256" i="1"/>
  <c r="A2977" i="1"/>
  <c r="A5361" i="1"/>
  <c r="A2965" i="1"/>
  <c r="A2514" i="1"/>
  <c r="A1260" i="1"/>
  <c r="A2957" i="1"/>
  <c r="A2947" i="1"/>
  <c r="A2945" i="1"/>
  <c r="A7334" i="1"/>
  <c r="A4731" i="1"/>
  <c r="A2451" i="1"/>
  <c r="A2513" i="1"/>
  <c r="A2926" i="1"/>
  <c r="A6827" i="1"/>
  <c r="A2512" i="1"/>
  <c r="A4403" i="1"/>
  <c r="A136" i="1"/>
  <c r="A3281" i="1"/>
  <c r="A2784" i="1"/>
  <c r="A5161" i="1"/>
  <c r="A656" i="1"/>
  <c r="A4248" i="1"/>
  <c r="A3049" i="1"/>
  <c r="A2511" i="1"/>
  <c r="A8316" i="1"/>
  <c r="A2510" i="1"/>
  <c r="A8315" i="1"/>
  <c r="A8314" i="1"/>
  <c r="A3999" i="1"/>
  <c r="A3998" i="1"/>
  <c r="A7403" i="1"/>
  <c r="A5535" i="1"/>
  <c r="A6145" i="1"/>
  <c r="A6238" i="1"/>
  <c r="A3177" i="1"/>
  <c r="A2840" i="1"/>
  <c r="A5160" i="1"/>
  <c r="A5159" i="1"/>
  <c r="A1322" i="1"/>
  <c r="A2829" i="1"/>
  <c r="A720" i="1"/>
  <c r="A2055" i="1"/>
  <c r="A2791" i="1"/>
  <c r="A2581" i="1"/>
  <c r="A2769" i="1"/>
  <c r="A2768" i="1"/>
  <c r="A7135" i="1"/>
  <c r="A1674" i="1"/>
  <c r="A2509" i="1"/>
  <c r="A2508" i="1"/>
  <c r="A7341" i="1"/>
  <c r="A2734" i="1"/>
  <c r="A4953" i="1"/>
  <c r="A5447" i="1"/>
  <c r="A5446" i="1"/>
  <c r="A8030" i="1"/>
  <c r="A8150" i="1"/>
  <c r="A39" i="1"/>
  <c r="A2723" i="1"/>
  <c r="A2717" i="1"/>
  <c r="A6339" i="1"/>
  <c r="A1816" i="1"/>
  <c r="A1415" i="1"/>
  <c r="A2150" i="1"/>
  <c r="A7290" i="1"/>
  <c r="A2700" i="1"/>
  <c r="A2695" i="1"/>
  <c r="A2677" i="1"/>
  <c r="A3946" i="1"/>
  <c r="A3766" i="1"/>
  <c r="A3634" i="1"/>
  <c r="A7603" i="1"/>
  <c r="A2642" i="1"/>
  <c r="A4104" i="1"/>
  <c r="A3313" i="1"/>
  <c r="A1612" i="1"/>
  <c r="A3299" i="1"/>
  <c r="A2604" i="1"/>
  <c r="A3853" i="1"/>
  <c r="A2608" i="1"/>
  <c r="A3261" i="1"/>
  <c r="A2583" i="1"/>
  <c r="A4092" i="1"/>
  <c r="A5158" i="1"/>
  <c r="A3997" i="1"/>
  <c r="A1414" i="1"/>
  <c r="A919" i="1"/>
  <c r="A2339" i="1"/>
  <c r="A2548" i="1"/>
  <c r="A2546" i="1"/>
  <c r="A2545" i="1"/>
  <c r="A2547" i="1"/>
  <c r="A4560" i="1"/>
  <c r="A2543" i="1"/>
  <c r="A2880" i="1"/>
  <c r="A2483" i="1"/>
  <c r="A4882" i="1"/>
  <c r="A2471" i="1"/>
  <c r="A2350" i="1"/>
  <c r="A6033" i="1"/>
  <c r="A8285" i="1"/>
  <c r="A2438" i="1"/>
  <c r="A2427" i="1"/>
  <c r="A2378" i="1"/>
  <c r="A7196" i="1"/>
  <c r="A4436" i="1"/>
  <c r="A3078" i="1"/>
  <c r="A55" i="1"/>
  <c r="A2364" i="1"/>
  <c r="A2362" i="1"/>
  <c r="A5157" i="1"/>
  <c r="A2291" i="1"/>
  <c r="A1889" i="1"/>
  <c r="A2327" i="1"/>
  <c r="A2326" i="1"/>
  <c r="A2325" i="1"/>
  <c r="A2324" i="1"/>
  <c r="A5916" i="1"/>
  <c r="A2323" i="1"/>
  <c r="A7517" i="1"/>
  <c r="A4134" i="1"/>
  <c r="A7434" i="1"/>
  <c r="A2507" i="1"/>
  <c r="A6462" i="1"/>
  <c r="A3206" i="1"/>
  <c r="A2308" i="1"/>
  <c r="A725" i="1"/>
  <c r="A5156" i="1"/>
  <c r="A7134" i="1"/>
  <c r="A7230" i="1"/>
  <c r="A4888" i="1"/>
  <c r="A2280" i="1"/>
  <c r="A8052" i="1"/>
  <c r="A1606" i="1"/>
  <c r="A2214" i="1"/>
  <c r="A2245" i="1"/>
  <c r="A2213" i="1"/>
  <c r="A2244" i="1"/>
  <c r="A2254" i="1"/>
  <c r="A2212" i="1"/>
  <c r="A2211" i="1"/>
  <c r="A2210" i="1"/>
  <c r="A2243" i="1"/>
  <c r="A2885" i="1"/>
  <c r="A2176" i="1"/>
  <c r="A2172" i="1"/>
  <c r="A2289" i="1"/>
  <c r="A2726" i="1"/>
  <c r="A2506" i="1"/>
  <c r="A2155" i="1"/>
  <c r="A5360" i="1"/>
  <c r="A6793" i="1"/>
  <c r="A3788" i="1"/>
  <c r="A5637" i="1"/>
  <c r="A3772" i="1"/>
  <c r="A2102" i="1"/>
  <c r="A4153" i="1"/>
  <c r="A3176" i="1"/>
  <c r="A412" i="1"/>
  <c r="A5864" i="1"/>
  <c r="A7530" i="1"/>
  <c r="A6423" i="1"/>
  <c r="A7126" i="1"/>
  <c r="A2105" i="1"/>
  <c r="A3224" i="1"/>
  <c r="A2025" i="1"/>
  <c r="A6237" i="1"/>
  <c r="A1995" i="1"/>
  <c r="A1994" i="1"/>
  <c r="A8221" i="1"/>
  <c r="A1988" i="1"/>
  <c r="A5406" i="1"/>
  <c r="A1821" i="1"/>
  <c r="A1981" i="1"/>
  <c r="A3166" i="1"/>
  <c r="A2014" i="1"/>
  <c r="A2722" i="1"/>
  <c r="A3384" i="1"/>
  <c r="A6452" i="1"/>
  <c r="A8064" i="1"/>
  <c r="A5466" i="1"/>
  <c r="A6425" i="1"/>
  <c r="A1955" i="1"/>
  <c r="A5863" i="1"/>
  <c r="A3510" i="1"/>
  <c r="A655" i="1"/>
  <c r="A5155" i="1"/>
  <c r="A1925" i="1"/>
  <c r="A5940" i="1"/>
  <c r="A2612" i="1"/>
  <c r="A4952" i="1"/>
  <c r="A2669" i="1"/>
  <c r="A3996" i="1"/>
  <c r="A7029" i="1"/>
  <c r="A4485" i="1"/>
  <c r="A6215" i="1"/>
  <c r="A2357" i="1"/>
  <c r="A1908" i="1"/>
  <c r="A1906" i="1"/>
  <c r="A1905" i="1"/>
  <c r="A1904" i="1"/>
  <c r="A5899" i="1"/>
  <c r="A5338" i="1"/>
  <c r="A1860" i="1"/>
  <c r="A6937" i="1"/>
  <c r="A6936" i="1"/>
  <c r="A1848" i="1"/>
  <c r="A245" i="1"/>
  <c r="A8189" i="1"/>
  <c r="A1840" i="1"/>
  <c r="A3718" i="1"/>
  <c r="A1839" i="1"/>
  <c r="A6964" i="1"/>
  <c r="A6918" i="1"/>
  <c r="A1068" i="1"/>
  <c r="A8041" i="1"/>
  <c r="A6483" i="1"/>
  <c r="A4197" i="1"/>
  <c r="A5862" i="1"/>
  <c r="A1684" i="1"/>
  <c r="A1798" i="1"/>
  <c r="A1797" i="1"/>
  <c r="A1796" i="1"/>
  <c r="A1795" i="1"/>
  <c r="A1794" i="1"/>
  <c r="A1793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5445" i="1"/>
  <c r="A1741" i="1"/>
  <c r="A1695" i="1"/>
  <c r="A3260" i="1"/>
  <c r="A1672" i="1"/>
  <c r="A6571" i="1"/>
  <c r="A2272" i="1"/>
  <c r="A3945" i="1"/>
  <c r="A1193" i="1"/>
  <c r="A1650" i="1"/>
  <c r="A6144" i="1"/>
  <c r="A1648" i="1"/>
  <c r="A7756" i="1"/>
  <c r="A2123" i="1"/>
  <c r="A1602" i="1"/>
  <c r="A1601" i="1"/>
  <c r="A1600" i="1"/>
  <c r="A1599" i="1"/>
  <c r="A8313" i="1"/>
  <c r="A8312" i="1"/>
  <c r="A7856" i="1"/>
  <c r="A1583" i="1"/>
  <c r="A3497" i="1"/>
  <c r="A6433" i="1"/>
  <c r="A5467" i="1"/>
  <c r="A1567" i="1"/>
  <c r="A1566" i="1"/>
  <c r="A2505" i="1"/>
  <c r="A1563" i="1"/>
  <c r="A1540" i="1"/>
  <c r="A1539" i="1"/>
  <c r="A1538" i="1"/>
  <c r="A6323" i="1"/>
  <c r="A6322" i="1"/>
  <c r="A4074" i="1"/>
  <c r="A4073" i="1"/>
  <c r="A4072" i="1"/>
  <c r="A4071" i="1"/>
  <c r="A4070" i="1"/>
  <c r="A1413" i="1"/>
  <c r="A1412" i="1"/>
  <c r="A1411" i="1"/>
  <c r="A1482" i="1"/>
  <c r="A1481" i="1"/>
  <c r="A1410" i="1"/>
  <c r="A2611" i="1"/>
  <c r="A1473" i="1"/>
  <c r="A3509" i="1"/>
  <c r="A1098" i="1"/>
  <c r="A5602" i="1"/>
  <c r="A1097" i="1"/>
  <c r="A1449" i="1"/>
  <c r="A7479" i="1"/>
  <c r="A1332" i="1"/>
  <c r="A4399" i="1"/>
  <c r="A1331" i="1"/>
  <c r="A3223" i="1"/>
  <c r="A3995" i="1"/>
  <c r="A2504" i="1"/>
  <c r="A1310" i="1"/>
  <c r="A654" i="1"/>
  <c r="A1292" i="1"/>
  <c r="A1291" i="1"/>
  <c r="A1290" i="1"/>
  <c r="A8353" i="1"/>
  <c r="A1264" i="1"/>
  <c r="A8155" i="1"/>
  <c r="A1254" i="1"/>
  <c r="A1876" i="1"/>
  <c r="A1875" i="1"/>
  <c r="A1252" i="1"/>
  <c r="A1231" i="1"/>
  <c r="A1230" i="1"/>
  <c r="A1229" i="1"/>
  <c r="A1217" i="1"/>
  <c r="A7133" i="1"/>
  <c r="A2871" i="1"/>
  <c r="A496" i="1"/>
  <c r="A2503" i="1"/>
  <c r="A1150" i="1"/>
  <c r="A2054" i="1"/>
  <c r="A6337" i="1"/>
  <c r="A3238" i="1"/>
  <c r="A3142" i="1"/>
  <c r="A7013" i="1"/>
  <c r="A3994" i="1"/>
  <c r="A3588" i="1"/>
  <c r="A7425" i="1"/>
  <c r="A5444" i="1"/>
  <c r="A1080" i="1"/>
  <c r="A5399" i="1"/>
  <c r="A1074" i="1"/>
  <c r="A1073" i="1"/>
  <c r="A1335" i="1"/>
  <c r="A8349" i="1"/>
  <c r="A6624" i="1"/>
  <c r="A1051" i="1"/>
  <c r="A6700" i="1"/>
  <c r="A1042" i="1"/>
  <c r="A5154" i="1"/>
  <c r="A1023" i="1"/>
  <c r="A7406" i="1"/>
  <c r="A1022" i="1"/>
  <c r="A1019" i="1"/>
  <c r="A2277" i="1"/>
  <c r="A976" i="1"/>
  <c r="A975" i="1"/>
  <c r="A974" i="1"/>
  <c r="A973" i="1"/>
  <c r="A7064" i="1"/>
  <c r="A934" i="1"/>
  <c r="A3388" i="1"/>
  <c r="A923" i="1"/>
  <c r="A2094" i="1"/>
  <c r="A8498" i="1"/>
  <c r="A866" i="1"/>
  <c r="A863" i="1"/>
  <c r="A135" i="1"/>
  <c r="A7455" i="1"/>
  <c r="A794" i="1"/>
  <c r="A737" i="1"/>
  <c r="A6186" i="1"/>
  <c r="A694" i="1"/>
  <c r="A5697" i="1"/>
  <c r="A1409" i="1"/>
  <c r="A653" i="1"/>
  <c r="A652" i="1"/>
  <c r="A651" i="1"/>
  <c r="A642" i="1"/>
  <c r="A625" i="1"/>
  <c r="A624" i="1"/>
  <c r="A650" i="1"/>
  <c r="A548" i="1"/>
  <c r="A547" i="1"/>
  <c r="A598" i="1"/>
  <c r="A597" i="1"/>
  <c r="A546" i="1"/>
  <c r="A596" i="1"/>
  <c r="A535" i="1"/>
  <c r="A532" i="1"/>
  <c r="A5153" i="1"/>
  <c r="A524" i="1"/>
  <c r="A7125" i="1"/>
  <c r="A7555" i="1"/>
  <c r="A3150" i="1"/>
  <c r="A488" i="1"/>
  <c r="A478" i="1"/>
  <c r="A785" i="1"/>
  <c r="A469" i="1"/>
  <c r="A3094" i="1"/>
  <c r="A459" i="1"/>
  <c r="A451" i="1"/>
  <c r="A450" i="1"/>
  <c r="A426" i="1"/>
  <c r="A425" i="1"/>
  <c r="A8572" i="1"/>
  <c r="A4251" i="1"/>
  <c r="A5421" i="1"/>
  <c r="A38" i="1"/>
  <c r="A3175" i="1"/>
  <c r="A360" i="1"/>
  <c r="A354" i="1"/>
  <c r="A5636" i="1"/>
  <c r="A649" i="1"/>
  <c r="A336" i="1"/>
  <c r="A303" i="1"/>
  <c r="A298" i="1"/>
  <c r="A7383" i="1"/>
  <c r="A8311" i="1"/>
  <c r="A746" i="1"/>
  <c r="A745" i="1"/>
  <c r="A744" i="1"/>
  <c r="A6321" i="1"/>
  <c r="A244" i="1"/>
  <c r="A243" i="1"/>
  <c r="A242" i="1"/>
  <c r="A241" i="1"/>
  <c r="A240" i="1"/>
  <c r="A239" i="1"/>
  <c r="A238" i="1"/>
  <c r="A237" i="1"/>
  <c r="A236" i="1"/>
  <c r="A235" i="1"/>
  <c r="A234" i="1"/>
  <c r="A182" i="1"/>
  <c r="A3154" i="1"/>
  <c r="A7340" i="1"/>
  <c r="A7339" i="1"/>
  <c r="A151" i="1"/>
  <c r="A147" i="1"/>
  <c r="A146" i="1"/>
  <c r="A6408" i="1"/>
  <c r="A3975" i="1"/>
  <c r="A1618" i="1"/>
  <c r="A88" i="1"/>
  <c r="A4294" i="1"/>
  <c r="A1088" i="1"/>
  <c r="A6926" i="1"/>
  <c r="A2175" i="1"/>
  <c r="A20" i="1"/>
  <c r="A1131" i="1"/>
  <c r="A15" i="1"/>
  <c r="A8422" i="1"/>
  <c r="A6143" i="1"/>
  <c r="A7674" i="1"/>
  <c r="A7590" i="1"/>
  <c r="A1681" i="1"/>
  <c r="A4617" i="1"/>
  <c r="A6876" i="1"/>
  <c r="A8107" i="1"/>
  <c r="A8453" i="1"/>
  <c r="A4077" i="1"/>
  <c r="A4853" i="1"/>
  <c r="A505" i="1"/>
  <c r="A3816" i="1"/>
  <c r="A2209" i="1"/>
  <c r="A6007" i="1"/>
  <c r="A5152" i="1"/>
  <c r="A8409" i="1"/>
  <c r="A4824" i="1"/>
  <c r="A2603" i="1"/>
  <c r="A4303" i="1"/>
  <c r="A7302" i="1"/>
  <c r="A1221" i="1"/>
  <c r="A3844" i="1"/>
  <c r="A3751" i="1"/>
  <c r="A2177" i="1"/>
  <c r="A5151" i="1"/>
  <c r="A3286" i="1"/>
  <c r="A2767" i="1"/>
  <c r="A5813" i="1"/>
  <c r="A7633" i="1"/>
  <c r="A7766" i="1"/>
  <c r="A6774" i="1"/>
  <c r="A7132" i="1"/>
  <c r="A793" i="1"/>
  <c r="A531" i="1"/>
  <c r="A310" i="1"/>
  <c r="A8128" i="1"/>
  <c r="A8576" i="1"/>
  <c r="A8550" i="1"/>
  <c r="A8540" i="1"/>
  <c r="A8526" i="1"/>
  <c r="A8525" i="1"/>
  <c r="A8539" i="1"/>
  <c r="A6201" i="1"/>
  <c r="A8490" i="1"/>
  <c r="A8561" i="1"/>
  <c r="A6781" i="1"/>
  <c r="A8310" i="1"/>
  <c r="A8479" i="1"/>
  <c r="A6407" i="1"/>
  <c r="A8448" i="1"/>
  <c r="A5948" i="1"/>
  <c r="A1660" i="1"/>
  <c r="A2502" i="1"/>
  <c r="A2501" i="1"/>
  <c r="A8425" i="1"/>
  <c r="A5778" i="1"/>
  <c r="A8154" i="1"/>
  <c r="A5150" i="1"/>
  <c r="A6898" i="1"/>
  <c r="A8387" i="1"/>
  <c r="A8380" i="1"/>
  <c r="A8010" i="1"/>
  <c r="A8369" i="1"/>
  <c r="A4328" i="1"/>
  <c r="A2836" i="1"/>
  <c r="A2928" i="1"/>
  <c r="A1006" i="1"/>
  <c r="A8284" i="1"/>
  <c r="A8279" i="1"/>
  <c r="A3496" i="1"/>
  <c r="A8216" i="1"/>
  <c r="A8219" i="1"/>
  <c r="A8548" i="1"/>
  <c r="A1849" i="1"/>
  <c r="A8199" i="1"/>
  <c r="A8198" i="1"/>
  <c r="A7495" i="1"/>
  <c r="A6185" i="1"/>
  <c r="A8166" i="1"/>
  <c r="A8140" i="1"/>
  <c r="A8136" i="1"/>
  <c r="A4834" i="1"/>
  <c r="A2822" i="1"/>
  <c r="A4872" i="1"/>
  <c r="A8160" i="1"/>
  <c r="A7721" i="1"/>
  <c r="A5700" i="1"/>
  <c r="A7239" i="1"/>
  <c r="A8085" i="1"/>
  <c r="A5149" i="1"/>
  <c r="A5571" i="1"/>
  <c r="A5934" i="1"/>
  <c r="A2090" i="1"/>
  <c r="A489" i="1"/>
  <c r="A6623" i="1"/>
  <c r="A1108" i="1"/>
  <c r="A7990" i="1"/>
  <c r="A7987" i="1"/>
  <c r="A98" i="1"/>
  <c r="A6299" i="1"/>
  <c r="A6002" i="1"/>
  <c r="A7928" i="1"/>
  <c r="A1874" i="1"/>
  <c r="A6249" i="1"/>
  <c r="A7907" i="1"/>
  <c r="A3115" i="1"/>
  <c r="A2307" i="1"/>
  <c r="A7882" i="1"/>
  <c r="A7868" i="1"/>
  <c r="A7867" i="1"/>
  <c r="A6699" i="1"/>
  <c r="A856" i="1"/>
  <c r="A855" i="1"/>
  <c r="A854" i="1"/>
  <c r="A7710" i="1"/>
  <c r="A8181" i="1"/>
  <c r="A831" i="1"/>
  <c r="A7033" i="1"/>
  <c r="A7818" i="1"/>
  <c r="A7784" i="1"/>
  <c r="A1624" i="1"/>
  <c r="A7192" i="1"/>
  <c r="A4152" i="1"/>
  <c r="A7706" i="1"/>
  <c r="A7702" i="1"/>
  <c r="A6029" i="1"/>
  <c r="A7680" i="1"/>
  <c r="A7671" i="1"/>
  <c r="A7663" i="1"/>
  <c r="A6204" i="1"/>
  <c r="A17" i="1"/>
  <c r="A3065" i="1"/>
  <c r="A342" i="1"/>
  <c r="A7610" i="1"/>
  <c r="A7301" i="1"/>
  <c r="A7581" i="1"/>
  <c r="A7580" i="1"/>
  <c r="A7579" i="1"/>
  <c r="A7575" i="1"/>
  <c r="A6792" i="1"/>
  <c r="A4340" i="1"/>
  <c r="A6672" i="1"/>
  <c r="A7537" i="1"/>
  <c r="A4879" i="1"/>
  <c r="A6917" i="1"/>
  <c r="A7098" i="1"/>
  <c r="A7097" i="1"/>
  <c r="A7096" i="1"/>
  <c r="A80" i="1"/>
  <c r="A5441" i="1"/>
  <c r="A7484" i="1"/>
  <c r="A5148" i="1"/>
  <c r="A7468" i="1"/>
  <c r="A800" i="1"/>
  <c r="A4674" i="1"/>
  <c r="A7448" i="1"/>
  <c r="A7411" i="1"/>
  <c r="A2056" i="1"/>
  <c r="A7398" i="1"/>
  <c r="A7382" i="1"/>
  <c r="A7312" i="1"/>
  <c r="A7305" i="1"/>
  <c r="A7300" i="1"/>
  <c r="A6406" i="1"/>
  <c r="A6854" i="1"/>
  <c r="A1306" i="1"/>
  <c r="A7262" i="1"/>
  <c r="A7258" i="1"/>
  <c r="A1496" i="1"/>
  <c r="A3014" i="1"/>
  <c r="A8389" i="1"/>
  <c r="A5635" i="1"/>
  <c r="A3130" i="1"/>
  <c r="A8295" i="1"/>
  <c r="A7440" i="1"/>
  <c r="A3114" i="1"/>
  <c r="A3993" i="1"/>
  <c r="A7156" i="1"/>
  <c r="A7116" i="1"/>
  <c r="A5415" i="1"/>
  <c r="A2653" i="1"/>
  <c r="A7063" i="1"/>
  <c r="A7045" i="1"/>
  <c r="A7044" i="1"/>
  <c r="A7028" i="1"/>
  <c r="A3283" i="1"/>
  <c r="A6983" i="1"/>
  <c r="A6599" i="1"/>
  <c r="A6925" i="1"/>
  <c r="A6049" i="1"/>
  <c r="A6897" i="1"/>
  <c r="A5147" i="1"/>
  <c r="A6888" i="1"/>
  <c r="A7418" i="1"/>
  <c r="A6868" i="1"/>
  <c r="A411" i="1"/>
  <c r="A6610" i="1"/>
  <c r="A5692" i="1"/>
  <c r="A4150" i="1"/>
  <c r="A6850" i="1"/>
  <c r="A7910" i="1"/>
  <c r="A623" i="1"/>
  <c r="A8070" i="1"/>
  <c r="A1868" i="1"/>
  <c r="A2355" i="1"/>
  <c r="A7424" i="1"/>
  <c r="A7243" i="1"/>
  <c r="A3059" i="1"/>
  <c r="A6764" i="1"/>
  <c r="A2363" i="1"/>
  <c r="A6749" i="1"/>
  <c r="A7966" i="1"/>
  <c r="A6729" i="1"/>
  <c r="A6728" i="1"/>
  <c r="A6715" i="1"/>
  <c r="A8383" i="1"/>
  <c r="A6671" i="1"/>
  <c r="A6667" i="1"/>
  <c r="A6320" i="1"/>
  <c r="A1127" i="1"/>
  <c r="A6625" i="1"/>
  <c r="A6616" i="1"/>
  <c r="A4871" i="1"/>
  <c r="A1448" i="1"/>
  <c r="A4078" i="1"/>
  <c r="A5436" i="1"/>
  <c r="A6200" i="1"/>
  <c r="A4757" i="1"/>
  <c r="A6551" i="1"/>
  <c r="A4744" i="1"/>
  <c r="A6573" i="1"/>
  <c r="A293" i="1"/>
  <c r="A791" i="1"/>
  <c r="A2426" i="1"/>
  <c r="A1210" i="1"/>
  <c r="A1209" i="1"/>
  <c r="A1208" i="1"/>
  <c r="A63" i="1"/>
  <c r="A7955" i="1"/>
  <c r="A7454" i="1"/>
  <c r="A2858" i="1"/>
  <c r="A6481" i="1"/>
  <c r="A6480" i="1"/>
  <c r="A6479" i="1"/>
  <c r="A6471" i="1"/>
  <c r="A6615" i="1"/>
  <c r="A4461" i="1"/>
  <c r="A6428" i="1"/>
  <c r="A2076" i="1"/>
  <c r="A3155" i="1"/>
  <c r="A779" i="1"/>
  <c r="A2309" i="1"/>
  <c r="A5910" i="1"/>
  <c r="A6330" i="1"/>
  <c r="A6732" i="1"/>
  <c r="A6405" i="1"/>
  <c r="A2425" i="1"/>
  <c r="A2424" i="1"/>
  <c r="A5696" i="1"/>
  <c r="A4870" i="1"/>
  <c r="A6463" i="1"/>
  <c r="A4358" i="1"/>
  <c r="A1176" i="1"/>
  <c r="A6142" i="1"/>
  <c r="A6141" i="1"/>
  <c r="A6046" i="1"/>
  <c r="A6042" i="1"/>
  <c r="A7792" i="1"/>
  <c r="A4869" i="1"/>
  <c r="A6404" i="1"/>
  <c r="A5930" i="1"/>
  <c r="A2316" i="1"/>
  <c r="A4086" i="1"/>
  <c r="A5939" i="1"/>
  <c r="A1036" i="1"/>
  <c r="A5851" i="1"/>
  <c r="A5812" i="1"/>
  <c r="A5806" i="1"/>
  <c r="A5805" i="1"/>
  <c r="A3324" i="1"/>
  <c r="A6857" i="1"/>
  <c r="A5770" i="1"/>
  <c r="A5769" i="1"/>
  <c r="A5768" i="1"/>
  <c r="A5748" i="1"/>
  <c r="A5747" i="1"/>
  <c r="A2870" i="1"/>
  <c r="A2825" i="1"/>
  <c r="A4794" i="1"/>
  <c r="A1819" i="1"/>
  <c r="A5664" i="1"/>
  <c r="A5570" i="1"/>
  <c r="A5569" i="1"/>
  <c r="A5568" i="1"/>
  <c r="A5545" i="1"/>
  <c r="A2242" i="1"/>
  <c r="A7338" i="1"/>
  <c r="A3412" i="1"/>
  <c r="A8585" i="1"/>
  <c r="A4868" i="1"/>
  <c r="A2863" i="1"/>
  <c r="A2968" i="1"/>
  <c r="A7687" i="1"/>
  <c r="A7602" i="1"/>
  <c r="A3122" i="1"/>
  <c r="A4867" i="1"/>
  <c r="A5364" i="1"/>
  <c r="A6319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3748" i="1"/>
  <c r="A4299" i="1"/>
  <c r="A4913" i="1"/>
  <c r="A4895" i="1"/>
  <c r="A4866" i="1"/>
  <c r="A5983" i="1"/>
  <c r="A8441" i="1"/>
  <c r="A4497" i="1"/>
  <c r="A4844" i="1"/>
  <c r="A4842" i="1"/>
  <c r="A464" i="1"/>
  <c r="A5759" i="1"/>
  <c r="A1489" i="1"/>
  <c r="A7128" i="1"/>
  <c r="A1455" i="1"/>
  <c r="A6577" i="1"/>
  <c r="A4791" i="1"/>
  <c r="A8382" i="1"/>
  <c r="A323" i="1"/>
  <c r="A3113" i="1"/>
  <c r="A4083" i="1"/>
  <c r="A4623" i="1"/>
  <c r="A7587" i="1"/>
  <c r="A4441" i="1"/>
  <c r="A4605" i="1"/>
  <c r="A5929" i="1"/>
  <c r="A2046" i="1"/>
  <c r="A4597" i="1"/>
  <c r="A4723" i="1"/>
  <c r="A4722" i="1"/>
  <c r="A4721" i="1"/>
  <c r="A4720" i="1"/>
  <c r="A4719" i="1"/>
  <c r="A4718" i="1"/>
  <c r="A4717" i="1"/>
  <c r="A4716" i="1"/>
  <c r="A4307" i="1"/>
  <c r="A2841" i="1"/>
  <c r="A7567" i="1"/>
  <c r="A5567" i="1"/>
  <c r="A4559" i="1"/>
  <c r="A4558" i="1"/>
  <c r="A4554" i="1"/>
  <c r="A4550" i="1"/>
  <c r="A4537" i="1"/>
  <c r="A5493" i="1"/>
  <c r="A1325" i="1"/>
  <c r="A4464" i="1"/>
  <c r="A6478" i="1"/>
  <c r="A1126" i="1"/>
  <c r="A4394" i="1"/>
  <c r="A4284" i="1"/>
  <c r="A4339" i="1"/>
  <c r="A3373" i="1"/>
  <c r="A4306" i="1"/>
  <c r="A4298" i="1"/>
  <c r="A5388" i="1"/>
  <c r="A5387" i="1"/>
  <c r="A4219" i="1"/>
  <c r="A4207" i="1"/>
  <c r="A4206" i="1"/>
  <c r="A4198" i="1"/>
  <c r="A4116" i="1"/>
  <c r="A4110" i="1"/>
  <c r="A648" i="1"/>
  <c r="A4098" i="1"/>
  <c r="A1582" i="1"/>
  <c r="A4093" i="1"/>
  <c r="A1598" i="1"/>
  <c r="A8348" i="1"/>
  <c r="A4079" i="1"/>
  <c r="A1321" i="1"/>
  <c r="A6403" i="1"/>
  <c r="A1125" i="1"/>
  <c r="A6430" i="1"/>
  <c r="A3828" i="1"/>
  <c r="A697" i="1"/>
  <c r="A3817" i="1"/>
  <c r="A7686" i="1"/>
  <c r="A7708" i="1"/>
  <c r="A3403" i="1"/>
  <c r="A3402" i="1"/>
  <c r="A8139" i="1"/>
  <c r="A1192" i="1"/>
  <c r="A5723" i="1"/>
  <c r="A3721" i="1"/>
  <c r="A3715" i="1"/>
  <c r="A3662" i="1"/>
  <c r="A3944" i="1"/>
  <c r="A2032" i="1"/>
  <c r="A5961" i="1"/>
  <c r="A3567" i="1"/>
  <c r="A3629" i="1"/>
  <c r="A3534" i="1"/>
  <c r="A4919" i="1"/>
  <c r="A7145" i="1"/>
  <c r="A3488" i="1"/>
  <c r="A3448" i="1"/>
  <c r="A4865" i="1"/>
  <c r="A8381" i="1"/>
  <c r="A3824" i="1"/>
  <c r="A3424" i="1"/>
  <c r="A3639" i="1"/>
  <c r="A7672" i="1"/>
  <c r="A3416" i="1"/>
  <c r="A5315" i="1"/>
  <c r="A3415" i="1"/>
  <c r="A4292" i="1"/>
  <c r="A3533" i="1"/>
  <c r="A4133" i="1"/>
  <c r="A3767" i="1"/>
  <c r="A7160" i="1"/>
  <c r="A3222" i="1"/>
  <c r="A3323" i="1"/>
  <c r="A3322" i="1"/>
  <c r="A3321" i="1"/>
  <c r="A8009" i="1"/>
  <c r="A3319" i="1"/>
  <c r="A3241" i="1"/>
  <c r="A3028" i="1"/>
  <c r="A3027" i="1"/>
  <c r="A3203" i="1"/>
  <c r="A2607" i="1"/>
  <c r="A6236" i="1"/>
  <c r="A376" i="1"/>
  <c r="A3163" i="1"/>
  <c r="A7927" i="1"/>
  <c r="A5133" i="1"/>
  <c r="A5476" i="1"/>
  <c r="A8097" i="1"/>
  <c r="A3112" i="1"/>
  <c r="A3096" i="1"/>
  <c r="A1070" i="1"/>
  <c r="A3863" i="1"/>
  <c r="A4637" i="1"/>
  <c r="A4878" i="1"/>
  <c r="A8489" i="1"/>
  <c r="A7849" i="1"/>
  <c r="A7704" i="1"/>
  <c r="A2889" i="1"/>
  <c r="A7951" i="1"/>
  <c r="A2953" i="1"/>
  <c r="A2321" i="1"/>
  <c r="A3026" i="1"/>
  <c r="A2940" i="1"/>
  <c r="A2934" i="1"/>
  <c r="A2893" i="1"/>
  <c r="A2887" i="1"/>
  <c r="A5799" i="1"/>
  <c r="A8309" i="1"/>
  <c r="A2835" i="1"/>
  <c r="A6044" i="1"/>
  <c r="A3336" i="1"/>
  <c r="A2739" i="1"/>
  <c r="A3021" i="1"/>
  <c r="A853" i="1"/>
  <c r="A2781" i="1"/>
  <c r="A2766" i="1"/>
  <c r="A6402" i="1"/>
  <c r="A2754" i="1"/>
  <c r="A2741" i="1"/>
  <c r="A7690" i="1"/>
  <c r="A134" i="1"/>
  <c r="A5373" i="1"/>
  <c r="A1664" i="1"/>
  <c r="A5722" i="1"/>
  <c r="A3673" i="1"/>
  <c r="A2694" i="1"/>
  <c r="A4771" i="1"/>
  <c r="A62" i="1"/>
  <c r="A4391" i="1"/>
  <c r="A2606" i="1"/>
  <c r="A852" i="1"/>
  <c r="A2591" i="1"/>
  <c r="A2423" i="1"/>
  <c r="A2422" i="1"/>
  <c r="A2421" i="1"/>
  <c r="A2420" i="1"/>
  <c r="A2540" i="1"/>
  <c r="A2419" i="1"/>
  <c r="A2418" i="1"/>
  <c r="A2417" i="1"/>
  <c r="A5840" i="1"/>
  <c r="A2464" i="1"/>
  <c r="A6401" i="1"/>
  <c r="A2416" i="1"/>
  <c r="A2415" i="1"/>
  <c r="A2414" i="1"/>
  <c r="A2413" i="1"/>
  <c r="A2412" i="1"/>
  <c r="A8308" i="1"/>
  <c r="A7494" i="1"/>
  <c r="A798" i="1"/>
  <c r="A7222" i="1"/>
  <c r="A2361" i="1"/>
  <c r="A6400" i="1"/>
  <c r="A2124" i="1"/>
  <c r="A723" i="1"/>
  <c r="A7493" i="1"/>
  <c r="A2318" i="1"/>
  <c r="A7763" i="1"/>
  <c r="A2315" i="1"/>
  <c r="A2312" i="1"/>
  <c r="A6859" i="1"/>
  <c r="A539" i="1"/>
  <c r="A1056" i="1"/>
  <c r="A2208" i="1"/>
  <c r="A2241" i="1"/>
  <c r="A2240" i="1"/>
  <c r="A8063" i="1"/>
  <c r="A7288" i="1"/>
  <c r="A4915" i="1"/>
  <c r="A4634" i="1"/>
  <c r="A2088" i="1"/>
  <c r="A2070" i="1"/>
  <c r="A1866" i="1"/>
  <c r="A1943" i="1"/>
  <c r="A7536" i="1"/>
  <c r="A1585" i="1"/>
  <c r="A7758" i="1"/>
  <c r="A8218" i="1"/>
  <c r="A2047" i="1"/>
  <c r="A6995" i="1"/>
  <c r="A2017" i="1"/>
  <c r="A6886" i="1"/>
  <c r="A1993" i="1"/>
  <c r="A4807" i="1"/>
  <c r="A1982" i="1"/>
  <c r="A4715" i="1"/>
  <c r="A7683" i="1"/>
  <c r="A3495" i="1"/>
  <c r="A1929" i="1"/>
  <c r="A7535" i="1"/>
  <c r="A7172" i="1"/>
  <c r="A7703" i="1"/>
  <c r="A1683" i="1"/>
  <c r="A2980" i="1"/>
  <c r="A7505" i="1"/>
  <c r="A4738" i="1"/>
  <c r="A691" i="1"/>
  <c r="A155" i="1"/>
  <c r="A6935" i="1"/>
  <c r="A74" i="1"/>
  <c r="A3776" i="1"/>
  <c r="A778" i="1"/>
  <c r="A4855" i="1"/>
  <c r="A1835" i="1"/>
  <c r="A1829" i="1"/>
  <c r="A5595" i="1"/>
  <c r="A1818" i="1"/>
  <c r="A8547" i="1"/>
  <c r="A1659" i="1"/>
  <c r="A690" i="1"/>
  <c r="A1858" i="1"/>
  <c r="A112" i="1"/>
  <c r="A3407" i="1"/>
  <c r="A1670" i="1"/>
  <c r="A1658" i="1"/>
  <c r="A6845" i="1"/>
  <c r="A1857" i="1"/>
  <c r="A6203" i="1"/>
  <c r="A7216" i="1"/>
  <c r="A7215" i="1"/>
  <c r="A1495" i="1"/>
  <c r="A4876" i="1"/>
  <c r="A1581" i="1"/>
  <c r="A3111" i="1"/>
  <c r="A1537" i="1"/>
  <c r="A1536" i="1"/>
  <c r="A1516" i="1"/>
  <c r="A4714" i="1"/>
  <c r="A3852" i="1"/>
  <c r="A7467" i="1"/>
  <c r="A1594" i="1"/>
  <c r="A8433" i="1"/>
  <c r="A1480" i="1"/>
  <c r="A2730" i="1"/>
  <c r="A1289" i="1"/>
  <c r="A5132" i="1"/>
  <c r="A7490" i="1"/>
  <c r="A1977" i="1"/>
  <c r="A1241" i="1"/>
  <c r="A1206" i="1"/>
  <c r="A1201" i="1"/>
  <c r="A1191" i="1"/>
  <c r="A296" i="1"/>
  <c r="A3740" i="1"/>
  <c r="A1559" i="1"/>
  <c r="A1124" i="1"/>
  <c r="A6528" i="1"/>
  <c r="A1100" i="1"/>
  <c r="A7660" i="1"/>
  <c r="A2941" i="1"/>
  <c r="A1052" i="1"/>
  <c r="A997" i="1"/>
  <c r="A972" i="1"/>
  <c r="A971" i="1"/>
  <c r="A970" i="1"/>
  <c r="A946" i="1"/>
  <c r="A1408" i="1"/>
  <c r="A8169" i="1"/>
  <c r="A4534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780" i="1"/>
  <c r="A6365" i="1"/>
  <c r="A3447" i="1"/>
  <c r="A729" i="1"/>
  <c r="A7509" i="1"/>
  <c r="A718" i="1"/>
  <c r="A1494" i="1"/>
  <c r="A6735" i="1"/>
  <c r="A693" i="1"/>
  <c r="A686" i="1"/>
  <c r="A5767" i="1"/>
  <c r="A4514" i="1"/>
  <c r="A610" i="1"/>
  <c r="A595" i="1"/>
  <c r="A594" i="1"/>
  <c r="A593" i="1"/>
  <c r="A592" i="1"/>
  <c r="A5947" i="1"/>
  <c r="A988" i="1"/>
  <c r="A520" i="1"/>
  <c r="A591" i="1"/>
  <c r="A3259" i="1"/>
  <c r="A7142" i="1"/>
  <c r="A486" i="1"/>
  <c r="A481" i="1"/>
  <c r="A784" i="1"/>
  <c r="A424" i="1"/>
  <c r="A5589" i="1"/>
  <c r="A394" i="1"/>
  <c r="A161" i="1"/>
  <c r="A7150" i="1"/>
  <c r="A385" i="1"/>
  <c r="A73" i="1"/>
  <c r="A72" i="1"/>
  <c r="A1123" i="1"/>
  <c r="A1122" i="1"/>
  <c r="A2151" i="1"/>
  <c r="A462" i="1"/>
  <c r="A7670" i="1"/>
  <c r="A315" i="1"/>
  <c r="A6399" i="1"/>
  <c r="A5898" i="1"/>
  <c r="A2879" i="1"/>
  <c r="A233" i="1"/>
  <c r="A4815" i="1"/>
  <c r="A6318" i="1"/>
  <c r="A232" i="1"/>
  <c r="A8171" i="1"/>
  <c r="A1513" i="1"/>
  <c r="A7626" i="1"/>
  <c r="A4864" i="1"/>
  <c r="A1630" i="1"/>
  <c r="A52" i="1"/>
  <c r="A16" i="1"/>
  <c r="A3790" i="1"/>
  <c r="A8559" i="1"/>
  <c r="A8307" i="1"/>
  <c r="A1792" i="1"/>
  <c r="A8306" i="1"/>
  <c r="A6344" i="1"/>
  <c r="A8451" i="1"/>
  <c r="A5490" i="1"/>
  <c r="A7620" i="1"/>
  <c r="A1936" i="1"/>
  <c r="A5131" i="1"/>
  <c r="A5130" i="1"/>
  <c r="A7423" i="1"/>
  <c r="A7637" i="1"/>
  <c r="A6317" i="1"/>
  <c r="A1740" i="1"/>
  <c r="A8305" i="1"/>
  <c r="A5887" i="1"/>
  <c r="A5979" i="1"/>
  <c r="A8304" i="1"/>
  <c r="A3110" i="1"/>
  <c r="A5659" i="1"/>
  <c r="A8258" i="1"/>
  <c r="A1407" i="1"/>
  <c r="A5656" i="1"/>
  <c r="A5550" i="1"/>
  <c r="A805" i="1"/>
  <c r="A4080" i="1"/>
  <c r="A8201" i="1"/>
  <c r="A3479" i="1"/>
  <c r="A2659" i="1"/>
  <c r="A7345" i="1"/>
  <c r="A2500" i="1"/>
  <c r="A5766" i="1"/>
  <c r="A1992" i="1"/>
  <c r="A2538" i="1"/>
  <c r="A5928" i="1"/>
  <c r="A2499" i="1"/>
  <c r="A8120" i="1"/>
  <c r="A8130" i="1"/>
  <c r="A1406" i="1"/>
  <c r="A5839" i="1"/>
  <c r="A2498" i="1"/>
  <c r="A6216" i="1"/>
  <c r="A5956" i="1"/>
  <c r="A2693" i="1"/>
  <c r="A6779" i="1"/>
  <c r="A3827" i="1"/>
  <c r="A7926" i="1"/>
  <c r="A5443" i="1"/>
  <c r="A4317" i="1"/>
  <c r="A7906" i="1"/>
  <c r="A7887" i="1"/>
  <c r="A8092" i="1"/>
  <c r="A4519" i="1"/>
  <c r="A2712" i="1"/>
  <c r="A8477" i="1"/>
  <c r="A3025" i="1"/>
  <c r="A7740" i="1"/>
  <c r="A4309" i="1"/>
  <c r="A7654" i="1"/>
  <c r="A7653" i="1"/>
  <c r="A7652" i="1"/>
  <c r="A4214" i="1"/>
  <c r="A4213" i="1"/>
  <c r="A7267" i="1"/>
  <c r="A8083" i="1"/>
  <c r="A8082" i="1"/>
  <c r="A7118" i="1"/>
  <c r="A7595" i="1"/>
  <c r="A5367" i="1"/>
  <c r="A7589" i="1"/>
  <c r="A7588" i="1"/>
  <c r="A7287" i="1"/>
  <c r="A6140" i="1"/>
  <c r="A1682" i="1"/>
  <c r="A7315" i="1"/>
  <c r="A6791" i="1"/>
  <c r="A4132" i="1"/>
  <c r="A7548" i="1"/>
  <c r="A3201" i="1"/>
  <c r="A3086" i="1"/>
  <c r="A6233" i="1"/>
  <c r="A5129" i="1"/>
  <c r="A3694" i="1"/>
  <c r="A3693" i="1"/>
  <c r="A281" i="1"/>
  <c r="A7485" i="1"/>
  <c r="A8271" i="1"/>
  <c r="A3943" i="1"/>
  <c r="A7197" i="1"/>
  <c r="A821" i="1"/>
  <c r="A6139" i="1"/>
  <c r="A7174" i="1"/>
  <c r="A4773" i="1"/>
  <c r="A6570" i="1"/>
  <c r="A2497" i="1"/>
  <c r="A6853" i="1"/>
  <c r="A8303" i="1"/>
  <c r="A2265" i="1"/>
  <c r="A7256" i="1"/>
  <c r="A612" i="1"/>
  <c r="A13" i="1"/>
  <c r="A7207" i="1"/>
  <c r="A6698" i="1"/>
  <c r="A285" i="1"/>
  <c r="A6994" i="1"/>
  <c r="A3411" i="1"/>
  <c r="A6763" i="1"/>
  <c r="A3992" i="1"/>
  <c r="A5483" i="1"/>
  <c r="A8067" i="1"/>
  <c r="A7848" i="1"/>
  <c r="A7151" i="1"/>
  <c r="A1107" i="1"/>
  <c r="A922" i="1"/>
  <c r="A3072" i="1"/>
  <c r="A7115" i="1"/>
  <c r="A7095" i="1"/>
  <c r="A7094" i="1"/>
  <c r="A2142" i="1"/>
  <c r="A6997" i="1"/>
  <c r="A3823" i="1"/>
  <c r="A6544" i="1"/>
  <c r="A6870" i="1"/>
  <c r="A6880" i="1"/>
  <c r="A8302" i="1"/>
  <c r="A8575" i="1"/>
  <c r="A1535" i="1"/>
  <c r="A4601" i="1"/>
  <c r="A2298" i="1"/>
  <c r="A6871" i="1"/>
  <c r="A4326" i="1"/>
  <c r="A2496" i="1"/>
  <c r="A6843" i="1"/>
  <c r="A6826" i="1"/>
  <c r="A4131" i="1"/>
  <c r="A6762" i="1"/>
  <c r="A6744" i="1"/>
  <c r="A6739" i="1"/>
  <c r="A3237" i="1"/>
  <c r="A6028" i="1"/>
  <c r="A5959" i="1"/>
  <c r="A7002" i="1"/>
  <c r="A6670" i="1"/>
  <c r="A1101" i="1"/>
  <c r="A7131" i="1"/>
  <c r="A1629" i="1"/>
  <c r="A3358" i="1"/>
  <c r="A7203" i="1"/>
  <c r="A6597" i="1"/>
  <c r="A6583" i="1"/>
  <c r="A6564" i="1"/>
  <c r="A3616" i="1"/>
  <c r="A5128" i="1"/>
  <c r="A366" i="1"/>
  <c r="A6539" i="1"/>
  <c r="A6533" i="1"/>
  <c r="A4652" i="1"/>
  <c r="A5127" i="1"/>
  <c r="A1830" i="1"/>
  <c r="A6510" i="1"/>
  <c r="A1966" i="1"/>
  <c r="A4325" i="1"/>
  <c r="A7899" i="1"/>
  <c r="A6301" i="1"/>
  <c r="A6304" i="1"/>
  <c r="A2271" i="1"/>
  <c r="A1334" i="1"/>
  <c r="A6589" i="1"/>
  <c r="A1882" i="1"/>
  <c r="A7130" i="1"/>
  <c r="A7422" i="1"/>
  <c r="A719" i="1"/>
  <c r="A6377" i="1"/>
  <c r="A6375" i="1"/>
  <c r="A2207" i="1"/>
  <c r="A5126" i="1"/>
  <c r="A1020" i="1"/>
  <c r="A7469" i="1"/>
  <c r="A7946" i="1"/>
  <c r="A6291" i="1"/>
  <c r="A4232" i="1"/>
  <c r="A2346" i="1"/>
  <c r="A6896" i="1"/>
  <c r="A6255" i="1"/>
  <c r="A384" i="1"/>
  <c r="A6138" i="1"/>
  <c r="A6137" i="1"/>
  <c r="A6045" i="1"/>
  <c r="A6027" i="1"/>
  <c r="A6020" i="1"/>
  <c r="A7261" i="1"/>
  <c r="A8032" i="1"/>
  <c r="A3258" i="1"/>
  <c r="A5986" i="1"/>
  <c r="A6009" i="1"/>
  <c r="A4392" i="1"/>
  <c r="A2466" i="1"/>
  <c r="A3354" i="1"/>
  <c r="A3446" i="1"/>
  <c r="A5923" i="1"/>
  <c r="A5912" i="1"/>
  <c r="A7273" i="1"/>
  <c r="A5893" i="1"/>
  <c r="A6660" i="1"/>
  <c r="A3169" i="1"/>
  <c r="A5125" i="1"/>
  <c r="A7275" i="1"/>
  <c r="A5816" i="1"/>
  <c r="A3499" i="1"/>
  <c r="A5765" i="1"/>
  <c r="A2564" i="1"/>
  <c r="A7606" i="1"/>
  <c r="A6232" i="1"/>
  <c r="A1320" i="1"/>
  <c r="A5671" i="1"/>
  <c r="A7617" i="1"/>
  <c r="A5124" i="1"/>
  <c r="A5731" i="1"/>
  <c r="A6659" i="1"/>
  <c r="A5546" i="1"/>
  <c r="A5542" i="1"/>
  <c r="A8210" i="1"/>
  <c r="A3991" i="1"/>
  <c r="A1534" i="1"/>
  <c r="A4130" i="1"/>
  <c r="A4129" i="1"/>
  <c r="A4128" i="1"/>
  <c r="A722" i="1"/>
  <c r="A5394" i="1"/>
  <c r="A5393" i="1"/>
  <c r="A1181" i="1"/>
  <c r="A4881" i="1"/>
  <c r="A4928" i="1"/>
  <c r="A4768" i="1"/>
  <c r="A1083" i="1"/>
  <c r="A5357" i="1"/>
  <c r="A5309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4951" i="1"/>
  <c r="A5355" i="1"/>
  <c r="A2495" i="1"/>
  <c r="A5371" i="1"/>
  <c r="A175" i="1"/>
  <c r="A4740" i="1"/>
  <c r="A2676" i="1"/>
  <c r="A7325" i="1"/>
  <c r="A6001" i="1"/>
  <c r="A4851" i="1"/>
  <c r="A4823" i="1"/>
  <c r="A4822" i="1"/>
  <c r="A8408" i="1"/>
  <c r="A8407" i="1"/>
  <c r="A4664" i="1"/>
  <c r="A4796" i="1"/>
  <c r="A8356" i="1"/>
  <c r="A4734" i="1"/>
  <c r="A8062" i="1"/>
  <c r="A3990" i="1"/>
  <c r="A4676" i="1"/>
  <c r="A3048" i="1"/>
  <c r="A4645" i="1"/>
  <c r="A4636" i="1"/>
  <c r="A4635" i="1"/>
  <c r="A2876" i="1"/>
  <c r="A4625" i="1"/>
  <c r="A5110" i="1"/>
  <c r="A5109" i="1"/>
  <c r="A4598" i="1"/>
  <c r="A6422" i="1"/>
  <c r="A5108" i="1"/>
  <c r="A5634" i="1"/>
  <c r="A3615" i="1"/>
  <c r="A4507" i="1"/>
  <c r="A4528" i="1"/>
  <c r="A1458" i="1"/>
  <c r="A7212" i="1"/>
  <c r="A145" i="1"/>
  <c r="A7981" i="1"/>
  <c r="A1265" i="1"/>
  <c r="A4410" i="1"/>
  <c r="A423" i="1"/>
  <c r="A5389" i="1"/>
  <c r="A4364" i="1"/>
  <c r="A4343" i="1"/>
  <c r="A1877" i="1"/>
  <c r="A4335" i="1"/>
  <c r="A5776" i="1"/>
  <c r="A4746" i="1"/>
  <c r="A4318" i="1"/>
  <c r="A4314" i="1"/>
  <c r="A4127" i="1"/>
  <c r="A4126" i="1"/>
  <c r="A7542" i="1"/>
  <c r="A4282" i="1"/>
  <c r="A820" i="1"/>
  <c r="A4272" i="1"/>
  <c r="A6207" i="1"/>
  <c r="A4745" i="1"/>
  <c r="A2446" i="1"/>
  <c r="A2652" i="1"/>
  <c r="A6136" i="1"/>
  <c r="A4236" i="1"/>
  <c r="A6135" i="1"/>
  <c r="A6134" i="1"/>
  <c r="A4230" i="1"/>
  <c r="A3493" i="1"/>
  <c r="A4188" i="1"/>
  <c r="A4154" i="1"/>
  <c r="A4125" i="1"/>
  <c r="A4124" i="1"/>
  <c r="A4123" i="1"/>
  <c r="A4106" i="1"/>
  <c r="A6133" i="1"/>
  <c r="A3679" i="1"/>
  <c r="A3427" i="1"/>
  <c r="A2284" i="1"/>
  <c r="A7449" i="1"/>
  <c r="A6398" i="1"/>
  <c r="A4950" i="1"/>
  <c r="A468" i="1"/>
  <c r="A3819" i="1"/>
  <c r="A3818" i="1"/>
  <c r="A7552" i="1"/>
  <c r="A7772" i="1"/>
  <c r="A133" i="1"/>
  <c r="A2780" i="1"/>
  <c r="A8057" i="1"/>
  <c r="A3746" i="1"/>
  <c r="A1533" i="1"/>
  <c r="A7466" i="1"/>
  <c r="A3692" i="1"/>
  <c r="A7975" i="1"/>
  <c r="A1580" i="1"/>
  <c r="A4670" i="1"/>
  <c r="A8391" i="1"/>
  <c r="A7770" i="1"/>
  <c r="A1592" i="1"/>
  <c r="A8458" i="1"/>
  <c r="A3350" i="1"/>
  <c r="A2206" i="1"/>
  <c r="A3561" i="1"/>
  <c r="A3532" i="1"/>
  <c r="A3508" i="1"/>
  <c r="A3587" i="1"/>
  <c r="A5633" i="1"/>
  <c r="A3586" i="1"/>
  <c r="A3445" i="1"/>
  <c r="A3418" i="1"/>
  <c r="A3531" i="1"/>
  <c r="A1318" i="1"/>
  <c r="A1317" i="1"/>
  <c r="A3221" i="1"/>
  <c r="A3334" i="1"/>
  <c r="A7529" i="1"/>
  <c r="A3257" i="1"/>
  <c r="A6132" i="1"/>
  <c r="A3213" i="1"/>
  <c r="A6825" i="1"/>
  <c r="A6235" i="1"/>
  <c r="A3168" i="1"/>
  <c r="A4367" i="1"/>
  <c r="A2026" i="1"/>
  <c r="A2268" i="1"/>
  <c r="A3090" i="1"/>
  <c r="A1062" i="1"/>
  <c r="A2494" i="1"/>
  <c r="A1921" i="1"/>
  <c r="A2493" i="1"/>
  <c r="A7780" i="1"/>
  <c r="A7891" i="1"/>
  <c r="A6582" i="1"/>
  <c r="A819" i="1"/>
  <c r="A2943" i="1"/>
  <c r="A1167" i="1"/>
  <c r="A3530" i="1"/>
  <c r="A2897" i="1"/>
  <c r="A3529" i="1"/>
  <c r="A1288" i="1"/>
  <c r="A620" i="1"/>
  <c r="A5107" i="1"/>
  <c r="A5879" i="1"/>
  <c r="A5106" i="1"/>
  <c r="A5534" i="1"/>
  <c r="A6231" i="1"/>
  <c r="A139" i="1"/>
  <c r="A2820" i="1"/>
  <c r="A5777" i="1"/>
  <c r="A803" i="1"/>
  <c r="A2765" i="1"/>
  <c r="A2764" i="1"/>
  <c r="A7238" i="1"/>
  <c r="A2743" i="1"/>
  <c r="A2749" i="1"/>
  <c r="A2735" i="1"/>
  <c r="A2795" i="1"/>
  <c r="A6131" i="1"/>
  <c r="A2618" i="1"/>
  <c r="A1203" i="1"/>
  <c r="A6529" i="1"/>
  <c r="A2721" i="1"/>
  <c r="A5503" i="1"/>
  <c r="A2979" i="1"/>
  <c r="A8358" i="1"/>
  <c r="A2686" i="1"/>
  <c r="A8170" i="1"/>
  <c r="A2637" i="1"/>
  <c r="A783" i="1"/>
  <c r="A2641" i="1"/>
  <c r="A2639" i="1"/>
  <c r="A2704" i="1"/>
  <c r="A5878" i="1"/>
  <c r="A5877" i="1"/>
  <c r="A378" i="1"/>
  <c r="A3942" i="1"/>
  <c r="A2477" i="1"/>
  <c r="A3109" i="1"/>
  <c r="A5365" i="1"/>
  <c r="A2443" i="1"/>
  <c r="A2411" i="1"/>
  <c r="A2763" i="1"/>
  <c r="A3174" i="1"/>
  <c r="A1160" i="1"/>
  <c r="A5533" i="1"/>
  <c r="A7632" i="1"/>
  <c r="A5655" i="1"/>
  <c r="A2344" i="1"/>
  <c r="A1532" i="1"/>
  <c r="A2549" i="1"/>
  <c r="A5838" i="1"/>
  <c r="A1852" i="1"/>
  <c r="A1244" i="1"/>
  <c r="A8149" i="1"/>
  <c r="A2281" i="1"/>
  <c r="A8103" i="1"/>
  <c r="A2239" i="1"/>
  <c r="A2238" i="1"/>
  <c r="A2205" i="1"/>
  <c r="A6316" i="1"/>
  <c r="A943" i="1"/>
  <c r="A3941" i="1"/>
  <c r="A2322" i="1"/>
  <c r="A7482" i="1"/>
  <c r="A7742" i="1"/>
  <c r="A2360" i="1"/>
  <c r="A2071" i="1"/>
  <c r="A120" i="1"/>
  <c r="A472" i="1"/>
  <c r="A5310" i="1"/>
  <c r="A3989" i="1"/>
  <c r="A2031" i="1"/>
  <c r="A545" i="1"/>
  <c r="A1970" i="1"/>
  <c r="A2857" i="1"/>
  <c r="A5500" i="1"/>
  <c r="A2742" i="1"/>
  <c r="A7037" i="1"/>
  <c r="A1520" i="1"/>
  <c r="A1363" i="1"/>
  <c r="A5938" i="1"/>
  <c r="A1791" i="1"/>
  <c r="A1922" i="1"/>
  <c r="A1901" i="1"/>
  <c r="A4255" i="1"/>
  <c r="A6745" i="1"/>
  <c r="A4406" i="1"/>
  <c r="A590" i="1"/>
  <c r="A5105" i="1"/>
  <c r="A1739" i="1"/>
  <c r="A1738" i="1"/>
  <c r="A1737" i="1"/>
  <c r="A1736" i="1"/>
  <c r="A1735" i="1"/>
  <c r="A1734" i="1"/>
  <c r="A1733" i="1"/>
  <c r="A1591" i="1"/>
  <c r="A1675" i="1"/>
  <c r="A6222" i="1"/>
  <c r="A2492" i="1"/>
  <c r="A2136" i="1"/>
  <c r="A6130" i="1"/>
  <c r="A8058" i="1"/>
  <c r="A3137" i="1"/>
  <c r="A1881" i="1"/>
  <c r="A8376" i="1"/>
  <c r="A1531" i="1"/>
  <c r="A8287" i="1"/>
  <c r="A4308" i="1"/>
  <c r="A1507" i="1"/>
  <c r="A4069" i="1"/>
  <c r="A1405" i="1"/>
  <c r="A1404" i="1"/>
  <c r="A1403" i="1"/>
  <c r="A1471" i="1"/>
  <c r="A1470" i="1"/>
  <c r="A2681" i="1"/>
  <c r="A6966" i="1"/>
  <c r="A1344" i="1"/>
  <c r="A1330" i="1"/>
  <c r="A1287" i="1"/>
  <c r="A1286" i="1"/>
  <c r="A681" i="1"/>
  <c r="A1218" i="1"/>
  <c r="A1200" i="1"/>
  <c r="A3394" i="1"/>
  <c r="A1134" i="1"/>
  <c r="A3733" i="1"/>
  <c r="A1059" i="1"/>
  <c r="A1001" i="1"/>
  <c r="A993" i="1"/>
  <c r="A969" i="1"/>
  <c r="A4819" i="1"/>
  <c r="A3685" i="1"/>
  <c r="A829" i="1"/>
  <c r="A781" i="1"/>
  <c r="A6916" i="1"/>
  <c r="A1916" i="1"/>
  <c r="A538" i="1"/>
  <c r="A56" i="1"/>
  <c r="A2813" i="1"/>
  <c r="A8138" i="1"/>
  <c r="A12" i="1"/>
  <c r="A1466" i="1"/>
  <c r="A589" i="1"/>
  <c r="A588" i="1"/>
  <c r="A544" i="1"/>
  <c r="A587" i="1"/>
  <c r="A586" i="1"/>
  <c r="A529" i="1"/>
  <c r="A523" i="1"/>
  <c r="A3417" i="1"/>
  <c r="A3256" i="1"/>
  <c r="A150" i="1"/>
  <c r="A5499" i="1"/>
  <c r="A380" i="1"/>
  <c r="A361" i="1"/>
  <c r="A5620" i="1"/>
  <c r="A5619" i="1"/>
  <c r="A329" i="1"/>
  <c r="A326" i="1"/>
  <c r="A5876" i="1"/>
  <c r="A6555" i="1"/>
  <c r="A231" i="1"/>
  <c r="A230" i="1"/>
  <c r="A229" i="1"/>
  <c r="A228" i="1"/>
  <c r="A227" i="1"/>
  <c r="A226" i="1"/>
  <c r="A183" i="1"/>
  <c r="A173" i="1"/>
  <c r="A163" i="1"/>
  <c r="A372" i="1"/>
  <c r="A132" i="1"/>
  <c r="A7860" i="1"/>
  <c r="A2860" i="1"/>
  <c r="A2873" i="1"/>
  <c r="A11" i="1"/>
  <c r="A6230" i="1"/>
  <c r="A4909" i="1"/>
  <c r="A5987" i="1"/>
  <c r="A6989" i="1"/>
  <c r="A8553" i="1"/>
  <c r="A8538" i="1"/>
  <c r="A8524" i="1"/>
  <c r="A8537" i="1"/>
  <c r="A8536" i="1"/>
  <c r="A8535" i="1"/>
  <c r="A8534" i="1"/>
  <c r="A8522" i="1"/>
  <c r="A8515" i="1"/>
  <c r="A4187" i="1"/>
  <c r="A8492" i="1"/>
  <c r="A5104" i="1"/>
  <c r="A2042" i="1"/>
  <c r="A4245" i="1"/>
  <c r="A5685" i="1"/>
  <c r="A8457" i="1"/>
  <c r="A8471" i="1"/>
  <c r="A8470" i="1"/>
  <c r="A8469" i="1"/>
  <c r="A2624" i="1"/>
  <c r="A2623" i="1"/>
  <c r="A8396" i="1"/>
  <c r="A8257" i="1"/>
  <c r="A8446" i="1"/>
  <c r="A5837" i="1"/>
  <c r="A6718" i="1"/>
  <c r="A2453" i="1"/>
  <c r="A7945" i="1"/>
  <c r="A8038" i="1"/>
  <c r="A8424" i="1"/>
  <c r="A5103" i="1"/>
  <c r="A5102" i="1"/>
  <c r="A5101" i="1"/>
  <c r="A2790" i="1"/>
  <c r="A6824" i="1"/>
  <c r="A8411" i="1"/>
  <c r="A1979" i="1"/>
  <c r="A8375" i="1"/>
  <c r="A3940" i="1"/>
  <c r="A6129" i="1"/>
  <c r="A7847" i="1"/>
  <c r="A1732" i="1"/>
  <c r="A8365" i="1"/>
  <c r="A8351" i="1"/>
  <c r="A8297" i="1"/>
  <c r="A8296" i="1"/>
  <c r="A8110" i="1"/>
  <c r="A8286" i="1"/>
  <c r="A8283" i="1"/>
  <c r="A8256" i="1"/>
  <c r="A8255" i="1"/>
  <c r="A8254" i="1"/>
  <c r="A8253" i="1"/>
  <c r="A8252" i="1"/>
  <c r="A8251" i="1"/>
  <c r="A8250" i="1"/>
  <c r="A8249" i="1"/>
  <c r="A8222" i="1"/>
  <c r="A2571" i="1"/>
  <c r="A3851" i="1"/>
  <c r="A4291" i="1"/>
  <c r="A8196" i="1"/>
  <c r="A3850" i="1"/>
  <c r="A8186" i="1"/>
  <c r="A8099" i="1"/>
  <c r="A8179" i="1"/>
  <c r="A467" i="1"/>
  <c r="A8096" i="1"/>
  <c r="A8162" i="1"/>
  <c r="A6973" i="1"/>
  <c r="A8148" i="1"/>
  <c r="A8147" i="1"/>
  <c r="A8137" i="1"/>
  <c r="A8093" i="1"/>
  <c r="A2098" i="1"/>
  <c r="A7636" i="1"/>
  <c r="A8112" i="1"/>
  <c r="A585" i="1"/>
  <c r="A4678" i="1"/>
  <c r="A3003" i="1"/>
  <c r="A1973" i="1"/>
  <c r="A8114" i="1"/>
  <c r="A968" i="1"/>
  <c r="A8087" i="1"/>
  <c r="A2708" i="1"/>
  <c r="A8051" i="1"/>
  <c r="A2354" i="1"/>
  <c r="A8509" i="1"/>
  <c r="A8045" i="1"/>
  <c r="A8076" i="1"/>
  <c r="A2237" i="1"/>
  <c r="A4089" i="1"/>
  <c r="A5566" i="1"/>
  <c r="A6823" i="1"/>
  <c r="A87" i="1"/>
  <c r="A8008" i="1"/>
  <c r="A5565" i="1"/>
  <c r="A2762" i="1"/>
  <c r="A7986" i="1"/>
  <c r="A6552" i="1"/>
  <c r="A7964" i="1"/>
  <c r="A8044" i="1"/>
  <c r="A7952" i="1"/>
  <c r="A399" i="1"/>
  <c r="A7936" i="1"/>
  <c r="A2353" i="1"/>
  <c r="A818" i="1"/>
  <c r="A7925" i="1"/>
  <c r="A7924" i="1"/>
  <c r="A7914" i="1"/>
  <c r="A1343" i="1"/>
  <c r="A4781" i="1"/>
  <c r="A4780" i="1"/>
  <c r="A7727" i="1"/>
  <c r="A465" i="1"/>
  <c r="A7905" i="1"/>
  <c r="A5372" i="1"/>
  <c r="A7904" i="1"/>
  <c r="A6547" i="1"/>
  <c r="A7886" i="1"/>
  <c r="A7880" i="1"/>
  <c r="A6697" i="1"/>
  <c r="A7873" i="1"/>
  <c r="A7865" i="1"/>
  <c r="A3849" i="1"/>
  <c r="A7861" i="1"/>
  <c r="A7681" i="1"/>
  <c r="A7854" i="1"/>
  <c r="A7853" i="1"/>
  <c r="A7852" i="1"/>
  <c r="A7846" i="1"/>
  <c r="A7845" i="1"/>
  <c r="A7844" i="1"/>
  <c r="A7843" i="1"/>
  <c r="A7842" i="1"/>
  <c r="A7828" i="1"/>
  <c r="A3585" i="1"/>
  <c r="A3761" i="1"/>
  <c r="A7313" i="1"/>
  <c r="A3335" i="1"/>
  <c r="A3383" i="1"/>
  <c r="A1986" i="1"/>
  <c r="A7789" i="1"/>
  <c r="A7527" i="1"/>
  <c r="A3158" i="1"/>
  <c r="A322" i="1"/>
  <c r="A7669" i="1"/>
  <c r="A7662" i="1"/>
  <c r="A7661" i="1"/>
  <c r="A1223" i="1"/>
  <c r="A4337" i="1"/>
  <c r="A7651" i="1"/>
  <c r="A7461" i="1"/>
  <c r="A3614" i="1"/>
  <c r="A3089" i="1"/>
  <c r="A7607" i="1"/>
  <c r="A5100" i="1"/>
  <c r="A5099" i="1"/>
  <c r="A857" i="1"/>
  <c r="A1572" i="1"/>
  <c r="A7616" i="1"/>
  <c r="A4814" i="1"/>
  <c r="A3640" i="1"/>
  <c r="A4557" i="1"/>
  <c r="A8079" i="1"/>
  <c r="A408" i="1"/>
  <c r="A7492" i="1"/>
  <c r="A6513" i="1"/>
  <c r="A8212" i="1"/>
  <c r="A5098" i="1"/>
  <c r="A6839" i="1"/>
  <c r="A6696" i="1"/>
  <c r="A2048" i="1"/>
  <c r="A1828" i="1"/>
  <c r="A1902" i="1"/>
  <c r="A4793" i="1"/>
  <c r="A7532" i="1"/>
  <c r="A7531" i="1"/>
  <c r="A7526" i="1"/>
  <c r="A6915" i="1"/>
  <c r="A6914" i="1"/>
  <c r="A6913" i="1"/>
  <c r="A7524" i="1"/>
  <c r="A3939" i="1"/>
  <c r="A3938" i="1"/>
  <c r="A3937" i="1"/>
  <c r="A7093" i="1"/>
  <c r="A7092" i="1"/>
  <c r="A7091" i="1"/>
  <c r="A1702" i="1"/>
  <c r="A7483" i="1"/>
  <c r="A356" i="1"/>
  <c r="A6013" i="1"/>
  <c r="A7477" i="1"/>
  <c r="A2140" i="1"/>
  <c r="A6458" i="1"/>
  <c r="A8270" i="1"/>
  <c r="A8269" i="1"/>
  <c r="A1731" i="1"/>
  <c r="A1730" i="1"/>
  <c r="A7464" i="1"/>
  <c r="A7451" i="1"/>
  <c r="A7450" i="1"/>
  <c r="A1607" i="1"/>
  <c r="A7155" i="1"/>
  <c r="A283" i="1"/>
  <c r="A7419" i="1"/>
  <c r="A6509" i="1"/>
  <c r="A7415" i="1"/>
  <c r="A7410" i="1"/>
  <c r="A3066" i="1"/>
  <c r="A7407" i="1"/>
  <c r="A3108" i="1"/>
  <c r="A4899" i="1"/>
  <c r="A584" i="1"/>
  <c r="A2122" i="1"/>
  <c r="A7381" i="1"/>
  <c r="A7380" i="1"/>
  <c r="A7379" i="1"/>
  <c r="A7378" i="1"/>
  <c r="A7377" i="1"/>
  <c r="A7376" i="1"/>
  <c r="A7375" i="1"/>
  <c r="A7374" i="1"/>
  <c r="A7373" i="1"/>
  <c r="A7372" i="1"/>
  <c r="A7352" i="1"/>
  <c r="A7336" i="1"/>
  <c r="A7335" i="1"/>
  <c r="A2456" i="1"/>
  <c r="A7308" i="1"/>
  <c r="A8374" i="1"/>
  <c r="A7299" i="1"/>
  <c r="A7293" i="1"/>
  <c r="A3002" i="1"/>
  <c r="A3211" i="1"/>
  <c r="A7282" i="1"/>
  <c r="A284" i="1"/>
  <c r="A7280" i="1"/>
  <c r="A7278" i="1"/>
  <c r="A6852" i="1"/>
  <c r="A7944" i="1"/>
  <c r="A4568" i="1"/>
  <c r="A7265" i="1"/>
  <c r="A6592" i="1"/>
  <c r="A7260" i="1"/>
  <c r="A7879" i="1"/>
  <c r="A7878" i="1"/>
  <c r="A7874" i="1"/>
  <c r="A7877" i="1"/>
  <c r="A7266" i="1"/>
  <c r="A2267" i="1"/>
  <c r="A4889" i="1"/>
  <c r="A6501" i="1"/>
  <c r="A5097" i="1"/>
  <c r="A763" i="1"/>
  <c r="A2702" i="1"/>
  <c r="A1402" i="1"/>
  <c r="A1196" i="1"/>
  <c r="A7753" i="1"/>
  <c r="A7229" i="1"/>
  <c r="A6451" i="1"/>
  <c r="A7188" i="1"/>
  <c r="A3200" i="1"/>
  <c r="A8109" i="1"/>
  <c r="A321" i="1"/>
  <c r="A7177" i="1"/>
  <c r="A7157" i="1"/>
  <c r="A2152" i="1"/>
  <c r="A7146" i="1"/>
  <c r="A7140" i="1"/>
  <c r="A7119" i="1"/>
  <c r="A5735" i="1"/>
  <c r="A3071" i="1"/>
  <c r="A3070" i="1"/>
  <c r="A3069" i="1"/>
  <c r="A2651" i="1"/>
  <c r="A7114" i="1"/>
  <c r="A7111" i="1"/>
  <c r="A7108" i="1"/>
  <c r="A7107" i="1"/>
  <c r="A7090" i="1"/>
  <c r="A7089" i="1"/>
  <c r="A7088" i="1"/>
  <c r="A1314" i="1"/>
  <c r="A7043" i="1"/>
  <c r="A7027" i="1"/>
  <c r="A7016" i="1"/>
  <c r="A7752" i="1"/>
  <c r="A741" i="1"/>
  <c r="A4271" i="1"/>
  <c r="A2157" i="1"/>
  <c r="A6981" i="1"/>
  <c r="A6972" i="1"/>
  <c r="A6971" i="1"/>
  <c r="A6962" i="1"/>
  <c r="A8050" i="1"/>
  <c r="A8049" i="1"/>
  <c r="A6912" i="1"/>
  <c r="A6900" i="1"/>
  <c r="A2035" i="1"/>
  <c r="A3798" i="1"/>
  <c r="A6885" i="1"/>
  <c r="A4808" i="1"/>
  <c r="A6756" i="1"/>
  <c r="A8106" i="1"/>
  <c r="A1112" i="1"/>
  <c r="A6851" i="1"/>
  <c r="A6585" i="1"/>
  <c r="A6584" i="1"/>
  <c r="A6840" i="1"/>
  <c r="A2162" i="1"/>
  <c r="A6790" i="1"/>
  <c r="A6782" i="1"/>
  <c r="A6822" i="1"/>
  <c r="A6821" i="1"/>
  <c r="A6820" i="1"/>
  <c r="A6819" i="1"/>
  <c r="A6797" i="1"/>
  <c r="A6796" i="1"/>
  <c r="A6795" i="1"/>
  <c r="A8055" i="1"/>
  <c r="A6766" i="1"/>
  <c r="A4908" i="1"/>
  <c r="A8213" i="1"/>
  <c r="A6761" i="1"/>
  <c r="A2985" i="1"/>
  <c r="A6748" i="1"/>
  <c r="A2655" i="1"/>
  <c r="A2654" i="1"/>
  <c r="A4854" i="1"/>
  <c r="A6726" i="1"/>
  <c r="A6725" i="1"/>
  <c r="A8248" i="1"/>
  <c r="A6844" i="1"/>
  <c r="A6722" i="1"/>
  <c r="A6720" i="1"/>
  <c r="A4902" i="1"/>
  <c r="A3425" i="1"/>
  <c r="A6487" i="1"/>
  <c r="A4081" i="1"/>
  <c r="A6714" i="1"/>
  <c r="A6713" i="1"/>
  <c r="A6695" i="1"/>
  <c r="A6694" i="1"/>
  <c r="A6693" i="1"/>
  <c r="A6710" i="1"/>
  <c r="A6692" i="1"/>
  <c r="A7247" i="1"/>
  <c r="A3846" i="1"/>
  <c r="A4949" i="1"/>
  <c r="A7790" i="1"/>
  <c r="A3684" i="1"/>
  <c r="A6641" i="1"/>
  <c r="A6644" i="1"/>
  <c r="A7298" i="1"/>
  <c r="A1121" i="1"/>
  <c r="A1120" i="1"/>
  <c r="A6620" i="1"/>
  <c r="A6614" i="1"/>
  <c r="A1348" i="1"/>
  <c r="A2103" i="1"/>
  <c r="A3173" i="1"/>
  <c r="A6540" i="1"/>
  <c r="A4582" i="1"/>
  <c r="A37" i="1"/>
  <c r="A6596" i="1"/>
  <c r="A6595" i="1"/>
  <c r="A6594" i="1"/>
  <c r="A3255" i="1"/>
  <c r="A6579" i="1"/>
  <c r="A3729" i="1"/>
  <c r="A4586" i="1"/>
  <c r="A2085" i="1"/>
  <c r="A6862" i="1"/>
  <c r="A7578" i="1"/>
  <c r="A6580" i="1"/>
  <c r="A377" i="1"/>
  <c r="A967" i="1"/>
  <c r="A107" i="1"/>
  <c r="A5889" i="1"/>
  <c r="A6545" i="1"/>
  <c r="A534" i="1"/>
  <c r="A6542" i="1"/>
  <c r="A6128" i="1"/>
  <c r="A6127" i="1"/>
  <c r="A6126" i="1"/>
  <c r="A6538" i="1"/>
  <c r="A7712" i="1"/>
  <c r="A1207" i="1"/>
  <c r="A5096" i="1"/>
  <c r="A5836" i="1"/>
  <c r="A2650" i="1"/>
  <c r="A2068" i="1"/>
  <c r="A6512" i="1"/>
  <c r="A2075" i="1"/>
  <c r="A2074" i="1"/>
  <c r="A609" i="1"/>
  <c r="A639" i="1"/>
  <c r="A7954" i="1"/>
  <c r="A3763" i="1"/>
  <c r="A2300" i="1"/>
  <c r="A7656" i="1"/>
  <c r="A388" i="1"/>
  <c r="A2153" i="1"/>
  <c r="A4713" i="1"/>
  <c r="A8402" i="1"/>
  <c r="A4712" i="1"/>
  <c r="A4711" i="1"/>
  <c r="A4710" i="1"/>
  <c r="A101" i="1"/>
  <c r="A6496" i="1"/>
  <c r="A6906" i="1"/>
  <c r="A2593" i="1"/>
  <c r="A6489" i="1"/>
  <c r="A7677" i="1"/>
  <c r="A6470" i="1"/>
  <c r="A817" i="1"/>
  <c r="A6464" i="1"/>
  <c r="A5532" i="1"/>
  <c r="A2010" i="1"/>
  <c r="A7225" i="1"/>
  <c r="A6436" i="1"/>
  <c r="A61" i="1"/>
  <c r="A3646" i="1"/>
  <c r="A1369" i="1"/>
  <c r="A5460" i="1"/>
  <c r="A1079" i="1"/>
  <c r="A4270" i="1"/>
  <c r="A5531" i="1"/>
  <c r="A7317" i="1"/>
  <c r="A7316" i="1"/>
  <c r="A6622" i="1"/>
  <c r="A6373" i="1"/>
  <c r="A6367" i="1"/>
  <c r="A3787" i="1"/>
  <c r="A8001" i="1"/>
  <c r="A6354" i="1"/>
  <c r="A6353" i="1"/>
  <c r="A4556" i="1"/>
  <c r="A2832" i="1"/>
  <c r="A6312" i="1"/>
  <c r="A5523" i="1"/>
  <c r="A6294" i="1"/>
  <c r="A6603" i="1"/>
  <c r="A6284" i="1"/>
  <c r="A4763" i="1"/>
  <c r="A6254" i="1"/>
  <c r="A6019" i="1"/>
  <c r="A6228" i="1"/>
  <c r="A6227" i="1"/>
  <c r="A6226" i="1"/>
  <c r="A4709" i="1"/>
  <c r="A5095" i="1"/>
  <c r="A6221" i="1"/>
  <c r="A6220" i="1"/>
  <c r="A3382" i="1"/>
  <c r="A6212" i="1"/>
  <c r="A6199" i="1"/>
  <c r="A141" i="1"/>
  <c r="A4756" i="1"/>
  <c r="A6182" i="1"/>
  <c r="A5914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054" i="1"/>
  <c r="A6026" i="1"/>
  <c r="A6025" i="1"/>
  <c r="A6024" i="1"/>
  <c r="A6000" i="1"/>
  <c r="A2594" i="1"/>
  <c r="A4444" i="1"/>
  <c r="A6017" i="1"/>
  <c r="A6008" i="1"/>
  <c r="A2288" i="1"/>
  <c r="A5892" i="1"/>
  <c r="A5888" i="1"/>
  <c r="A7665" i="1"/>
  <c r="A8197" i="1"/>
  <c r="A5966" i="1"/>
  <c r="A2984" i="1"/>
  <c r="A1689" i="1"/>
  <c r="A4596" i="1"/>
  <c r="A7980" i="1"/>
  <c r="A5946" i="1"/>
  <c r="A2127" i="1"/>
  <c r="A2022" i="1"/>
  <c r="A5933" i="1"/>
  <c r="A5920" i="1"/>
  <c r="A5919" i="1"/>
  <c r="A6550" i="1"/>
  <c r="A4122" i="1"/>
  <c r="A5937" i="1"/>
  <c r="A7000" i="1"/>
  <c r="A5902" i="1"/>
  <c r="A5897" i="1"/>
  <c r="A5921" i="1"/>
  <c r="A5861" i="1"/>
  <c r="A5860" i="1"/>
  <c r="A5835" i="1"/>
  <c r="A6289" i="1"/>
  <c r="A5815" i="1"/>
  <c r="A5814" i="1"/>
  <c r="A8229" i="1"/>
  <c r="A7332" i="1"/>
  <c r="A1611" i="1"/>
  <c r="A5792" i="1"/>
  <c r="A2121" i="1"/>
  <c r="A2120" i="1"/>
  <c r="A27" i="1"/>
  <c r="A5786" i="1"/>
  <c r="A5784" i="1"/>
  <c r="A5775" i="1"/>
  <c r="A2728" i="1"/>
  <c r="A3645" i="1"/>
  <c r="A4606" i="1"/>
  <c r="A5746" i="1"/>
  <c r="A5745" i="1"/>
  <c r="A422" i="1"/>
  <c r="A449" i="1"/>
  <c r="A5744" i="1"/>
  <c r="A7941" i="1"/>
  <c r="A7940" i="1"/>
  <c r="A5741" i="1"/>
  <c r="A2869" i="1"/>
  <c r="A3800" i="1"/>
  <c r="A5703" i="1"/>
  <c r="A5702" i="1"/>
  <c r="A5701" i="1"/>
  <c r="A5687" i="1"/>
  <c r="A682" i="1"/>
  <c r="A5677" i="1"/>
  <c r="A5676" i="1"/>
  <c r="A5670" i="1"/>
  <c r="A5669" i="1"/>
  <c r="A4525" i="1"/>
  <c r="A5662" i="1"/>
  <c r="A4863" i="1"/>
  <c r="A5643" i="1"/>
  <c r="A583" i="1"/>
  <c r="A5632" i="1"/>
  <c r="A5617" i="1"/>
  <c r="A5665" i="1"/>
  <c r="A4862" i="1"/>
  <c r="A5601" i="1"/>
  <c r="A5564" i="1"/>
  <c r="A5563" i="1"/>
  <c r="A5562" i="1"/>
  <c r="A5492" i="1"/>
  <c r="A5463" i="1"/>
  <c r="A8183" i="1"/>
  <c r="A6106" i="1"/>
  <c r="A6105" i="1"/>
  <c r="A3861" i="1"/>
  <c r="A5663" i="1"/>
  <c r="A3107" i="1"/>
  <c r="A4286" i="1"/>
  <c r="A7344" i="1"/>
  <c r="A6198" i="1"/>
  <c r="A6569" i="1"/>
  <c r="A5402" i="1"/>
  <c r="A1512" i="1"/>
  <c r="A2938" i="1"/>
  <c r="A6602" i="1"/>
  <c r="A7788" i="1"/>
  <c r="A1930" i="1"/>
  <c r="A5376" i="1"/>
  <c r="A2550" i="1"/>
  <c r="A5368" i="1"/>
  <c r="A5834" i="1"/>
  <c r="A5470" i="1"/>
  <c r="A4806" i="1"/>
  <c r="A8086" i="1"/>
  <c r="A36" i="1"/>
  <c r="A8054" i="1"/>
  <c r="A4580" i="1"/>
  <c r="A1067" i="1"/>
  <c r="A5342" i="1"/>
  <c r="A5331" i="1"/>
  <c r="A5330" i="1"/>
  <c r="A5329" i="1"/>
  <c r="A5328" i="1"/>
  <c r="A6315" i="1"/>
  <c r="A4395" i="1"/>
  <c r="A5311" i="1"/>
  <c r="A8029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4948" i="1"/>
  <c r="A4297" i="1"/>
  <c r="A5494" i="1"/>
  <c r="A4903" i="1"/>
  <c r="A4898" i="1"/>
  <c r="A4887" i="1"/>
  <c r="A6210" i="1"/>
  <c r="A35" i="1"/>
  <c r="A4877" i="1"/>
  <c r="A5904" i="1"/>
  <c r="A4848" i="1"/>
  <c r="A4847" i="1"/>
  <c r="A1851" i="1"/>
  <c r="A1066" i="1"/>
  <c r="A5344" i="1"/>
  <c r="A2706" i="1"/>
  <c r="A6598" i="1"/>
  <c r="A3570" i="1"/>
  <c r="A3936" i="1"/>
  <c r="A4755" i="1"/>
  <c r="A4754" i="1"/>
  <c r="A4753" i="1"/>
  <c r="A4690" i="1"/>
  <c r="A701" i="1"/>
  <c r="A4684" i="1"/>
  <c r="A2776" i="1"/>
  <c r="A4657" i="1"/>
  <c r="A4813" i="1"/>
  <c r="A3815" i="1"/>
  <c r="A2134" i="1"/>
  <c r="A4962" i="1"/>
  <c r="A5951" i="1"/>
  <c r="A4644" i="1"/>
  <c r="A6604" i="1"/>
  <c r="A4521" i="1"/>
  <c r="A4616" i="1"/>
  <c r="A4615" i="1"/>
  <c r="A4614" i="1"/>
  <c r="A4613" i="1"/>
  <c r="A4603" i="1"/>
  <c r="A6356" i="1"/>
  <c r="A4600" i="1"/>
  <c r="A4708" i="1"/>
  <c r="A4707" i="1"/>
  <c r="A4706" i="1"/>
  <c r="A4705" i="1"/>
  <c r="A4704" i="1"/>
  <c r="A4703" i="1"/>
  <c r="A4702" i="1"/>
  <c r="A4701" i="1"/>
  <c r="A4700" i="1"/>
  <c r="A4699" i="1"/>
  <c r="A2738" i="1"/>
  <c r="A4698" i="1"/>
  <c r="A4697" i="1"/>
  <c r="A4696" i="1"/>
  <c r="A4594" i="1"/>
  <c r="A1245" i="1"/>
  <c r="A3295" i="1"/>
  <c r="A4631" i="1"/>
  <c r="A7821" i="1"/>
  <c r="A4549" i="1"/>
  <c r="A4548" i="1"/>
  <c r="A7405" i="1"/>
  <c r="A4518" i="1"/>
  <c r="A4510" i="1"/>
  <c r="A7314" i="1"/>
  <c r="A4503" i="1"/>
  <c r="A4502" i="1"/>
  <c r="A4499" i="1"/>
  <c r="A4496" i="1"/>
  <c r="A4481" i="1"/>
  <c r="A4476" i="1"/>
  <c r="A2756" i="1"/>
  <c r="A4472" i="1"/>
  <c r="A5414" i="1"/>
  <c r="A4452" i="1"/>
  <c r="A4450" i="1"/>
  <c r="A4449" i="1"/>
  <c r="A1038" i="1"/>
  <c r="A4447" i="1"/>
  <c r="A6477" i="1"/>
  <c r="A6197" i="1"/>
  <c r="A4269" i="1"/>
  <c r="A7129" i="1"/>
  <c r="A4435" i="1"/>
  <c r="A4422" i="1"/>
  <c r="A4630" i="1"/>
  <c r="A4396" i="1"/>
  <c r="A4390" i="1"/>
  <c r="A4389" i="1"/>
  <c r="A4388" i="1"/>
  <c r="A4387" i="1"/>
  <c r="A4412" i="1"/>
  <c r="A421" i="1"/>
  <c r="A1111" i="1"/>
  <c r="A4331" i="1"/>
  <c r="A6575" i="1"/>
  <c r="A4316" i="1"/>
  <c r="A8560" i="1"/>
  <c r="A1015" i="1"/>
  <c r="A6651" i="1"/>
  <c r="A4274" i="1"/>
  <c r="A6977" i="1"/>
  <c r="A5541" i="1"/>
  <c r="A6420" i="1"/>
  <c r="A3047" i="1"/>
  <c r="A7786" i="1"/>
  <c r="A7087" i="1"/>
  <c r="A4281" i="1"/>
  <c r="A816" i="1"/>
  <c r="A4275" i="1"/>
  <c r="A2605" i="1"/>
  <c r="A4249" i="1"/>
  <c r="A6104" i="1"/>
  <c r="A7167" i="1"/>
  <c r="A3935" i="1"/>
  <c r="A6103" i="1"/>
  <c r="A6102" i="1"/>
  <c r="A4233" i="1"/>
  <c r="A7841" i="1"/>
  <c r="A4585" i="1"/>
  <c r="A4211" i="1"/>
  <c r="A4210" i="1"/>
  <c r="A4205" i="1"/>
  <c r="A4204" i="1"/>
  <c r="A4203" i="1"/>
  <c r="A4202" i="1"/>
  <c r="A4201" i="1"/>
  <c r="A340" i="1"/>
  <c r="A339" i="1"/>
  <c r="A7840" i="1"/>
  <c r="A4186" i="1"/>
  <c r="A4148" i="1"/>
  <c r="A4147" i="1"/>
  <c r="A2149" i="1"/>
  <c r="A4102" i="1"/>
  <c r="A2804" i="1"/>
  <c r="A8440" i="1"/>
  <c r="A839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4473" i="1"/>
  <c r="A3560" i="1"/>
  <c r="A6397" i="1"/>
  <c r="A6396" i="1"/>
  <c r="A3842" i="1"/>
  <c r="A6395" i="1"/>
  <c r="A2748" i="1"/>
  <c r="A1850" i="1"/>
  <c r="A6878" i="1"/>
  <c r="A4890" i="1"/>
  <c r="A4434" i="1"/>
  <c r="A3613" i="1"/>
  <c r="A3444" i="1"/>
  <c r="A7233" i="1"/>
  <c r="A5318" i="1"/>
  <c r="A3811" i="1"/>
  <c r="A3922" i="1"/>
  <c r="A3786" i="1"/>
  <c r="A3785" i="1"/>
  <c r="A71" i="1"/>
  <c r="A2924" i="1"/>
  <c r="A2463" i="1"/>
  <c r="A1156" i="1"/>
  <c r="A3548" i="1"/>
  <c r="A3745" i="1"/>
  <c r="A1530" i="1"/>
  <c r="A2491" i="1"/>
  <c r="A1529" i="1"/>
  <c r="A1528" i="1"/>
  <c r="A4762" i="1"/>
  <c r="A3732" i="1"/>
  <c r="A8360" i="1"/>
  <c r="A4672" i="1"/>
  <c r="A6978" i="1"/>
  <c r="A3678" i="1"/>
  <c r="A3676" i="1"/>
  <c r="A3661" i="1"/>
  <c r="A3921" i="1"/>
  <c r="A3920" i="1"/>
  <c r="A3919" i="1"/>
  <c r="A3342" i="1"/>
  <c r="A4365" i="1"/>
  <c r="A3648" i="1"/>
  <c r="A3644" i="1"/>
  <c r="A3636" i="1"/>
  <c r="A3443" i="1"/>
  <c r="A3584" i="1"/>
  <c r="A3583" i="1"/>
  <c r="A3442" i="1"/>
  <c r="A3441" i="1"/>
  <c r="A3582" i="1"/>
  <c r="A65" i="1"/>
  <c r="A1587" i="1"/>
  <c r="A8275" i="1"/>
  <c r="A4947" i="1"/>
  <c r="A3528" i="1"/>
  <c r="A3507" i="1"/>
  <c r="A3491" i="1"/>
  <c r="A3481" i="1"/>
  <c r="A3440" i="1"/>
  <c r="A3581" i="1"/>
  <c r="A3439" i="1"/>
  <c r="A3438" i="1"/>
  <c r="A3437" i="1"/>
  <c r="A2348" i="1"/>
  <c r="A2060" i="1"/>
  <c r="A4695" i="1"/>
  <c r="A1842" i="1"/>
  <c r="A3428" i="1"/>
  <c r="A3405" i="1"/>
  <c r="A3527" i="1"/>
  <c r="A3526" i="1"/>
  <c r="A8053" i="1"/>
  <c r="A4222" i="1"/>
  <c r="A3404" i="1"/>
  <c r="A3400" i="1"/>
  <c r="A3393" i="1"/>
  <c r="A3392" i="1"/>
  <c r="A2789" i="1"/>
  <c r="A3364" i="1"/>
  <c r="A7676" i="1"/>
  <c r="A3351" i="1"/>
  <c r="A6923" i="1"/>
  <c r="A1145" i="1"/>
  <c r="A7698" i="1"/>
  <c r="A7159" i="1"/>
  <c r="A7304" i="1"/>
  <c r="A762" i="1"/>
  <c r="A7551" i="1"/>
  <c r="A3374" i="1"/>
  <c r="A3280" i="1"/>
  <c r="A3254" i="1"/>
  <c r="A3220" i="1"/>
  <c r="A3219" i="1"/>
  <c r="A1033" i="1"/>
  <c r="A8217" i="1"/>
  <c r="A3253" i="1"/>
  <c r="A1368" i="1"/>
  <c r="A3139" i="1"/>
  <c r="A3136" i="1"/>
  <c r="A3135" i="1"/>
  <c r="A320" i="1"/>
  <c r="A3106" i="1"/>
  <c r="A1462" i="1"/>
  <c r="A149" i="1"/>
  <c r="A3125" i="1"/>
  <c r="A3124" i="1"/>
  <c r="A692" i="1"/>
  <c r="A5989" i="1"/>
  <c r="A3092" i="1"/>
  <c r="A8247" i="1"/>
  <c r="A4694" i="1"/>
  <c r="A761" i="1"/>
  <c r="A4612" i="1"/>
  <c r="A2615" i="1"/>
  <c r="A3792" i="1"/>
  <c r="A2442" i="1"/>
  <c r="A2441" i="1"/>
  <c r="A2041" i="1"/>
  <c r="A3046" i="1"/>
  <c r="A3064" i="1"/>
  <c r="A3791" i="1"/>
  <c r="A8089" i="1"/>
  <c r="A3058" i="1"/>
  <c r="A7249" i="1"/>
  <c r="A8468" i="1"/>
  <c r="A8467" i="1"/>
  <c r="A8290" i="1"/>
  <c r="A3007" i="1"/>
  <c r="A3005" i="1"/>
  <c r="A2951" i="1"/>
  <c r="A3372" i="1"/>
  <c r="A3062" i="1"/>
  <c r="A2161" i="1"/>
  <c r="A2992" i="1"/>
  <c r="A7890" i="1"/>
  <c r="A6789" i="1"/>
  <c r="A4223" i="1"/>
  <c r="A1352" i="1"/>
  <c r="A6877" i="1"/>
  <c r="A6970" i="1"/>
  <c r="A2952" i="1"/>
  <c r="A4480" i="1"/>
  <c r="A647" i="1"/>
  <c r="A8443" i="1"/>
  <c r="A2939" i="1"/>
  <c r="A3918" i="1"/>
  <c r="A2932" i="1"/>
  <c r="A2636" i="1"/>
  <c r="A7512" i="1"/>
  <c r="A7938" i="1"/>
  <c r="A2896" i="1"/>
  <c r="A1285" i="1"/>
  <c r="A1284" i="1"/>
  <c r="A3525" i="1"/>
  <c r="A1283" i="1"/>
  <c r="A1282" i="1"/>
  <c r="A2882" i="1"/>
  <c r="A2868" i="1"/>
  <c r="A4897" i="1"/>
  <c r="A346" i="1"/>
  <c r="A3848" i="1"/>
  <c r="A2859" i="1"/>
  <c r="A8488" i="1"/>
  <c r="A1174" i="1"/>
  <c r="A5062" i="1"/>
  <c r="A6734" i="1"/>
  <c r="A1053" i="1"/>
  <c r="A7556" i="1"/>
  <c r="A2126" i="1"/>
  <c r="A528" i="1"/>
  <c r="A2761" i="1"/>
  <c r="A2760" i="1"/>
  <c r="A2759" i="1"/>
  <c r="A2758" i="1"/>
  <c r="A2452" i="1"/>
  <c r="A3381" i="1"/>
  <c r="A2733" i="1"/>
  <c r="A6005" i="1"/>
  <c r="A3917" i="1"/>
  <c r="A2184" i="1"/>
  <c r="A4375" i="1"/>
  <c r="A3916" i="1"/>
  <c r="A4068" i="1"/>
  <c r="A2729" i="1"/>
  <c r="A6664" i="1"/>
  <c r="A2720" i="1"/>
  <c r="A7923" i="1"/>
  <c r="A8579" i="1"/>
  <c r="A6394" i="1"/>
  <c r="A3419" i="1"/>
  <c r="A2699" i="1"/>
  <c r="A2236" i="1"/>
  <c r="A2235" i="1"/>
  <c r="A2692" i="1"/>
  <c r="A2690" i="1"/>
  <c r="A2670" i="1"/>
  <c r="A7457" i="1"/>
  <c r="A2635" i="1"/>
  <c r="A6196" i="1"/>
  <c r="A6195" i="1"/>
  <c r="A2662" i="1"/>
  <c r="A2602" i="1"/>
  <c r="A4386" i="1"/>
  <c r="A4385" i="1"/>
  <c r="A4384" i="1"/>
  <c r="A4383" i="1"/>
  <c r="A2645" i="1"/>
  <c r="A4382" i="1"/>
  <c r="A4381" i="1"/>
  <c r="A2640" i="1"/>
  <c r="A2625" i="1"/>
  <c r="A6673" i="1"/>
  <c r="A8065" i="1"/>
  <c r="A1897" i="1"/>
  <c r="A1896" i="1"/>
  <c r="A6393" i="1"/>
  <c r="A2588" i="1"/>
  <c r="A4488" i="1"/>
  <c r="A4494" i="1"/>
  <c r="A1493" i="1"/>
  <c r="A2582" i="1"/>
  <c r="A6419" i="1"/>
  <c r="A2568" i="1"/>
  <c r="A2567" i="1"/>
  <c r="A1110" i="1"/>
  <c r="A7303" i="1"/>
  <c r="A6475" i="1"/>
  <c r="A2551" i="1"/>
  <c r="A2410" i="1"/>
  <c r="A2490" i="1"/>
  <c r="A2475" i="1"/>
  <c r="A5833" i="1"/>
  <c r="A5832" i="1"/>
  <c r="A5831" i="1"/>
  <c r="A6179" i="1"/>
  <c r="A2448" i="1"/>
  <c r="A8512" i="1"/>
  <c r="A2437" i="1"/>
  <c r="A2436" i="1"/>
  <c r="A2435" i="1"/>
  <c r="A2409" i="1"/>
  <c r="A2408" i="1"/>
  <c r="A2407" i="1"/>
  <c r="A2406" i="1"/>
  <c r="A2405" i="1"/>
  <c r="A2387" i="1"/>
  <c r="A5061" i="1"/>
  <c r="A2372" i="1"/>
  <c r="A5988" i="1"/>
  <c r="A7622" i="1"/>
  <c r="A1169" i="1"/>
  <c r="A3165" i="1"/>
  <c r="A2989" i="1"/>
  <c r="A3915" i="1"/>
  <c r="A7697" i="1"/>
  <c r="A3829" i="1"/>
  <c r="A4501" i="1"/>
  <c r="A407" i="1"/>
  <c r="A6468" i="1"/>
  <c r="A29" i="1"/>
  <c r="A2302" i="1"/>
  <c r="A4547" i="1"/>
  <c r="A2287" i="1"/>
  <c r="A1035" i="1"/>
  <c r="A7228" i="1"/>
  <c r="A2204" i="1"/>
  <c r="A2203" i="1"/>
  <c r="A2202" i="1"/>
  <c r="A2234" i="1"/>
  <c r="A1639" i="1"/>
  <c r="A4761" i="1"/>
  <c r="A3914" i="1"/>
  <c r="A2171" i="1"/>
  <c r="A2169" i="1"/>
  <c r="A2286" i="1"/>
  <c r="A2166" i="1"/>
  <c r="A1243" i="1"/>
  <c r="A2154" i="1"/>
  <c r="A4268" i="1"/>
  <c r="A2133" i="1"/>
  <c r="A4946" i="1"/>
  <c r="A1888" i="1"/>
  <c r="A2110" i="1"/>
  <c r="A2109" i="1"/>
  <c r="A2100" i="1"/>
  <c r="A2093" i="1"/>
  <c r="A6818" i="1"/>
  <c r="A5743" i="1"/>
  <c r="A7707" i="1"/>
  <c r="A1865" i="1"/>
  <c r="A119" i="1"/>
  <c r="A1942" i="1"/>
  <c r="A2064" i="1"/>
  <c r="A6194" i="1"/>
  <c r="A2057" i="1"/>
  <c r="A7062" i="1"/>
  <c r="A7061" i="1"/>
  <c r="A7124" i="1"/>
  <c r="A2043" i="1"/>
  <c r="A2040" i="1"/>
  <c r="A2039" i="1"/>
  <c r="A2027" i="1"/>
  <c r="A4085" i="1"/>
  <c r="A1564" i="1"/>
  <c r="A7500" i="1"/>
  <c r="A2447" i="1"/>
  <c r="A1447" i="1"/>
  <c r="A4542" i="1"/>
  <c r="A1978" i="1"/>
  <c r="A4584" i="1"/>
  <c r="A3380" i="1"/>
  <c r="A7214" i="1"/>
  <c r="A34" i="1"/>
  <c r="A1971" i="1"/>
  <c r="A1555" i="1"/>
  <c r="A1968" i="1"/>
  <c r="A1401" i="1"/>
  <c r="A1400" i="1"/>
  <c r="A1810" i="1"/>
  <c r="A5314" i="1"/>
  <c r="A1859" i="1"/>
  <c r="A1934" i="1"/>
  <c r="A5645" i="1"/>
  <c r="A2233" i="1"/>
  <c r="A1933" i="1"/>
  <c r="A6183" i="1"/>
  <c r="A3347" i="1"/>
  <c r="A1912" i="1"/>
  <c r="A1911" i="1"/>
  <c r="A1910" i="1"/>
  <c r="A1909" i="1"/>
  <c r="A1893" i="1"/>
  <c r="A1891" i="1"/>
  <c r="A2295" i="1"/>
  <c r="A1883" i="1"/>
  <c r="A8506" i="1"/>
  <c r="A6691" i="1"/>
  <c r="A1878" i="1"/>
  <c r="A6884" i="1"/>
  <c r="A929" i="1"/>
  <c r="A2552" i="1"/>
  <c r="A4482" i="1"/>
  <c r="A1846" i="1"/>
  <c r="A1843" i="1"/>
  <c r="A1841" i="1"/>
  <c r="A1928" i="1"/>
  <c r="A3524" i="1"/>
  <c r="A1832" i="1"/>
  <c r="A3801" i="1"/>
  <c r="A5754" i="1"/>
  <c r="A6633" i="1"/>
  <c r="A3410" i="1"/>
  <c r="A1790" i="1"/>
  <c r="A1789" i="1"/>
  <c r="A1788" i="1"/>
  <c r="A1787" i="1"/>
  <c r="A1786" i="1"/>
  <c r="A1729" i="1"/>
  <c r="A1728" i="1"/>
  <c r="A1727" i="1"/>
  <c r="A1726" i="1"/>
  <c r="A1725" i="1"/>
  <c r="A1724" i="1"/>
  <c r="A1723" i="1"/>
  <c r="A1722" i="1"/>
  <c r="A1721" i="1"/>
  <c r="A4779" i="1"/>
  <c r="A2276" i="1"/>
  <c r="A1680" i="1"/>
  <c r="A4931" i="1"/>
  <c r="A33" i="1"/>
  <c r="A7182" i="1"/>
  <c r="A1652" i="1"/>
  <c r="A1651" i="1"/>
  <c r="A4513" i="1"/>
  <c r="A1643" i="1"/>
  <c r="A2192" i="1"/>
  <c r="A1636" i="1"/>
  <c r="A1635" i="1"/>
  <c r="A1621" i="1"/>
  <c r="A1616" i="1"/>
  <c r="A1720" i="1"/>
  <c r="A1608" i="1"/>
  <c r="A8084" i="1"/>
  <c r="A6011" i="1"/>
  <c r="A4861" i="1"/>
  <c r="A4805" i="1"/>
  <c r="A8533" i="1"/>
  <c r="A1574" i="1"/>
  <c r="A7507" i="1"/>
  <c r="A1570" i="1"/>
  <c r="A1568" i="1"/>
  <c r="A1569" i="1"/>
  <c r="A1565" i="1"/>
  <c r="A1557" i="1"/>
  <c r="A3822" i="1"/>
  <c r="A1527" i="1"/>
  <c r="A1526" i="1"/>
  <c r="A1519" i="1"/>
  <c r="A4693" i="1"/>
  <c r="A1501" i="1"/>
  <c r="A1479" i="1"/>
  <c r="A1399" i="1"/>
  <c r="A1465" i="1"/>
  <c r="A1459" i="1"/>
  <c r="A1456" i="1"/>
  <c r="A1398" i="1"/>
  <c r="A1353" i="1"/>
  <c r="A1339" i="1"/>
  <c r="A1340" i="1"/>
  <c r="A225" i="1"/>
  <c r="A6770" i="1"/>
  <c r="A5060" i="1"/>
  <c r="A1324" i="1"/>
  <c r="A1319" i="1"/>
  <c r="A1313" i="1"/>
  <c r="A1311" i="1"/>
  <c r="A1305" i="1"/>
  <c r="A3755" i="1"/>
  <c r="A1304" i="1"/>
  <c r="A1281" i="1"/>
  <c r="A1280" i="1"/>
  <c r="A3487" i="1"/>
  <c r="A7566" i="1"/>
  <c r="A1257" i="1"/>
  <c r="A7489" i="1"/>
  <c r="A7488" i="1"/>
  <c r="A3345" i="1"/>
  <c r="A4516" i="1"/>
  <c r="A1249" i="1"/>
  <c r="A7521" i="1"/>
  <c r="A815" i="1"/>
  <c r="A3024" i="1"/>
  <c r="A319" i="1"/>
  <c r="A1190" i="1"/>
  <c r="A1186" i="1"/>
  <c r="A3023" i="1"/>
  <c r="A5059" i="1"/>
  <c r="A6929" i="1"/>
  <c r="A1161" i="1"/>
  <c r="A6928" i="1"/>
  <c r="A6690" i="1"/>
  <c r="A6193" i="1"/>
  <c r="A5963" i="1"/>
  <c r="A1119" i="1"/>
  <c r="A1118" i="1"/>
  <c r="A1099" i="1"/>
  <c r="A1096" i="1"/>
  <c r="A1095" i="1"/>
  <c r="A1094" i="1"/>
  <c r="A3731" i="1"/>
  <c r="A5058" i="1"/>
  <c r="A1041" i="1"/>
  <c r="A5057" i="1"/>
  <c r="A1040" i="1"/>
  <c r="A5056" i="1"/>
  <c r="A5055" i="1"/>
  <c r="A5054" i="1"/>
  <c r="A5053" i="1"/>
  <c r="A1039" i="1"/>
  <c r="A6192" i="1"/>
  <c r="A1021" i="1"/>
  <c r="A2275" i="1"/>
  <c r="A2274" i="1"/>
  <c r="A1012" i="1"/>
  <c r="A990" i="1"/>
  <c r="A966" i="1"/>
  <c r="A965" i="1"/>
  <c r="A964" i="1"/>
  <c r="A963" i="1"/>
  <c r="A6709" i="1"/>
  <c r="A933" i="1"/>
  <c r="A4945" i="1"/>
  <c r="A931" i="1"/>
  <c r="A7795" i="1"/>
  <c r="A3010" i="1"/>
  <c r="A926" i="1"/>
  <c r="A921" i="1"/>
  <c r="A962" i="1"/>
  <c r="A961" i="1"/>
  <c r="A860" i="1"/>
  <c r="A7695" i="1"/>
  <c r="A809" i="1"/>
  <c r="A2264" i="1"/>
  <c r="A6911" i="1"/>
  <c r="A7254" i="1"/>
  <c r="A7237" i="1"/>
  <c r="A4067" i="1"/>
  <c r="A782" i="1"/>
  <c r="A3913" i="1"/>
  <c r="A765" i="1"/>
  <c r="A749" i="1"/>
  <c r="A748" i="1"/>
  <c r="A742" i="1"/>
  <c r="A8059" i="1"/>
  <c r="A5313" i="1"/>
  <c r="A717" i="1"/>
  <c r="A716" i="1"/>
  <c r="A707" i="1"/>
  <c r="A706" i="1"/>
  <c r="A704" i="1"/>
  <c r="A2812" i="1"/>
  <c r="A2811" i="1"/>
  <c r="A2810" i="1"/>
  <c r="A2809" i="1"/>
  <c r="A2808" i="1"/>
  <c r="A700" i="1"/>
  <c r="A2685" i="1"/>
  <c r="A5052" i="1"/>
  <c r="A641" i="1"/>
  <c r="A2788" i="1"/>
  <c r="A8584" i="1"/>
  <c r="A6689" i="1"/>
  <c r="A622" i="1"/>
  <c r="A621" i="1"/>
  <c r="A543" i="1"/>
  <c r="A582" i="1"/>
  <c r="A581" i="1"/>
  <c r="A580" i="1"/>
  <c r="A579" i="1"/>
  <c r="A542" i="1"/>
  <c r="A578" i="1"/>
  <c r="A577" i="1"/>
  <c r="A576" i="1"/>
  <c r="A575" i="1"/>
  <c r="A6838" i="1"/>
  <c r="A522" i="1"/>
  <c r="A513" i="1"/>
  <c r="A512" i="1"/>
  <c r="A6817" i="1"/>
  <c r="A511" i="1"/>
  <c r="A506" i="1"/>
  <c r="A3252" i="1"/>
  <c r="A3251" i="1"/>
  <c r="A494" i="1"/>
  <c r="A5051" i="1"/>
  <c r="A6440" i="1"/>
  <c r="A420" i="1"/>
  <c r="A448" i="1"/>
  <c r="A454" i="1"/>
  <c r="A447" i="1"/>
  <c r="A446" i="1"/>
  <c r="A445" i="1"/>
  <c r="A444" i="1"/>
  <c r="A443" i="1"/>
  <c r="A442" i="1"/>
  <c r="A441" i="1"/>
  <c r="A419" i="1"/>
  <c r="A393" i="1"/>
  <c r="A389" i="1"/>
  <c r="A6627" i="1"/>
  <c r="A70" i="1"/>
  <c r="A368" i="1"/>
  <c r="A359" i="1"/>
  <c r="A8246" i="1"/>
  <c r="A2038" i="1"/>
  <c r="A4576" i="1"/>
  <c r="A5440" i="1"/>
  <c r="A7657" i="1"/>
  <c r="A5425" i="1"/>
  <c r="A282" i="1"/>
  <c r="A224" i="1"/>
  <c r="A223" i="1"/>
  <c r="A222" i="1"/>
  <c r="A221" i="1"/>
  <c r="A220" i="1"/>
  <c r="A219" i="1"/>
  <c r="A218" i="1"/>
  <c r="A3366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1917" i="1"/>
  <c r="A4687" i="1"/>
  <c r="A5631" i="1"/>
  <c r="A3486" i="1"/>
  <c r="A130" i="1"/>
  <c r="A125" i="1"/>
  <c r="A1184" i="1"/>
  <c r="A1183" i="1"/>
  <c r="A757" i="1"/>
  <c r="A4541" i="1"/>
  <c r="A5050" i="1"/>
  <c r="A7269" i="1"/>
  <c r="A7012" i="1"/>
  <c r="A83" i="1"/>
  <c r="A82" i="1"/>
  <c r="A51" i="1"/>
  <c r="A7394" i="1"/>
  <c r="A25" i="1"/>
  <c r="A28" i="1"/>
  <c r="A2367" i="1"/>
  <c r="A2891" i="1"/>
  <c r="A8523" i="1"/>
  <c r="A8532" i="1"/>
  <c r="A8442" i="1"/>
  <c r="A5844" i="1"/>
  <c r="A8347" i="1"/>
  <c r="A8340" i="1"/>
  <c r="A347" i="1"/>
  <c r="A8195" i="1"/>
  <c r="A1879" i="1"/>
  <c r="A8182" i="1"/>
  <c r="A2890" i="1"/>
  <c r="A5383" i="1"/>
  <c r="A8406" i="1"/>
  <c r="A4546" i="1"/>
  <c r="A4267" i="1"/>
  <c r="A3355" i="1"/>
  <c r="A5964" i="1"/>
  <c r="A6557" i="1"/>
  <c r="A1924" i="1"/>
  <c r="A203" i="1"/>
  <c r="A8582" i="1"/>
  <c r="A8581" i="1"/>
  <c r="A2778" i="1"/>
  <c r="A8558" i="1"/>
  <c r="A8531" i="1"/>
  <c r="A8564" i="1"/>
  <c r="A3912" i="1"/>
  <c r="A8487" i="1"/>
  <c r="A8461" i="1"/>
  <c r="A646" i="1"/>
  <c r="A551" i="1"/>
  <c r="A85" i="1"/>
  <c r="A2468" i="1"/>
  <c r="A7104" i="1"/>
  <c r="A8420" i="1"/>
  <c r="A6314" i="1"/>
  <c r="A6313" i="1"/>
  <c r="A8372" i="1"/>
  <c r="A8362" i="1"/>
  <c r="A4118" i="1"/>
  <c r="A8274" i="1"/>
  <c r="A8245" i="1"/>
  <c r="A8230" i="1"/>
  <c r="A8209" i="1"/>
  <c r="A6347" i="1"/>
  <c r="A2338" i="1"/>
  <c r="A6362" i="1"/>
  <c r="A6780" i="1"/>
  <c r="A6279" i="1"/>
  <c r="A4101" i="1"/>
  <c r="A6586" i="1"/>
  <c r="A8157" i="1"/>
  <c r="A3353" i="1"/>
  <c r="A574" i="1"/>
  <c r="A8126" i="1"/>
  <c r="A8159" i="1"/>
  <c r="A8118" i="1"/>
  <c r="A8101" i="1"/>
  <c r="A918" i="1"/>
  <c r="A3813" i="1"/>
  <c r="A5875" i="1"/>
  <c r="A1189" i="1"/>
  <c r="A7999" i="1"/>
  <c r="A7817" i="1"/>
  <c r="A4156" i="1"/>
  <c r="A8027" i="1"/>
  <c r="A8026" i="1"/>
  <c r="A8014" i="1"/>
  <c r="A8016" i="1"/>
  <c r="A7984" i="1"/>
  <c r="A7983" i="1"/>
  <c r="A7957" i="1"/>
  <c r="A6278" i="1"/>
  <c r="A7689" i="1"/>
  <c r="A3161" i="1"/>
  <c r="A7839" i="1"/>
  <c r="A1359" i="1"/>
  <c r="A7816" i="1"/>
  <c r="A7815" i="1"/>
  <c r="A7421" i="1"/>
  <c r="A1072" i="1"/>
  <c r="A2931" i="1"/>
  <c r="A7650" i="1"/>
  <c r="A7169" i="1"/>
  <c r="A6523" i="1"/>
  <c r="A6522" i="1"/>
  <c r="A7599" i="1"/>
  <c r="A5472" i="1"/>
  <c r="A5305" i="1"/>
  <c r="A7596" i="1"/>
  <c r="A7570" i="1"/>
  <c r="A6788" i="1"/>
  <c r="A6277" i="1"/>
  <c r="A7544" i="1"/>
  <c r="A7518" i="1"/>
  <c r="A7502" i="1"/>
  <c r="A7675" i="1"/>
  <c r="A2279" i="1"/>
  <c r="A169" i="1"/>
  <c r="A3911" i="1"/>
  <c r="A3910" i="1"/>
  <c r="A3909" i="1"/>
  <c r="A3908" i="1"/>
  <c r="A2343" i="1"/>
  <c r="A7433" i="1"/>
  <c r="A7404" i="1"/>
  <c r="A1397" i="1"/>
  <c r="A7321" i="1"/>
  <c r="A7309" i="1"/>
  <c r="A4351" i="1"/>
  <c r="A5680" i="1"/>
  <c r="A4404" i="1"/>
  <c r="A7281" i="1"/>
  <c r="A2266" i="1"/>
  <c r="A2866" i="1"/>
  <c r="A2865" i="1"/>
  <c r="A3988" i="1"/>
  <c r="A2263" i="1"/>
  <c r="A7255" i="1"/>
  <c r="A5999" i="1"/>
  <c r="A4821" i="1"/>
  <c r="A4820" i="1"/>
  <c r="A3743" i="1"/>
  <c r="A292" i="1"/>
  <c r="A7371" i="1"/>
  <c r="A1396" i="1"/>
  <c r="A3128" i="1"/>
  <c r="A7814" i="1"/>
  <c r="A5803" i="1"/>
  <c r="A7143" i="1"/>
  <c r="A7370" i="1"/>
  <c r="A3079" i="1"/>
  <c r="A7117" i="1"/>
  <c r="A2975" i="1"/>
  <c r="A7060" i="1"/>
  <c r="A3141" i="1"/>
  <c r="A645" i="1"/>
  <c r="A3341" i="1"/>
  <c r="A6960" i="1"/>
  <c r="A6958" i="1"/>
  <c r="A6957" i="1"/>
  <c r="A6361" i="1"/>
  <c r="A633" i="1"/>
  <c r="A6903" i="1"/>
  <c r="A6882" i="1"/>
  <c r="A6261" i="1"/>
  <c r="A6276" i="1"/>
  <c r="A3329" i="1"/>
  <c r="A1444" i="1"/>
  <c r="A4944" i="1"/>
  <c r="A6364" i="1"/>
  <c r="A6816" i="1"/>
  <c r="A6787" i="1"/>
  <c r="A1478" i="1"/>
  <c r="A2878" i="1"/>
  <c r="A6674" i="1"/>
  <c r="A6942" i="1"/>
  <c r="A6621" i="1"/>
  <c r="A5429" i="1"/>
  <c r="A1454" i="1"/>
  <c r="A6737" i="1"/>
  <c r="A5925" i="1"/>
  <c r="A6562" i="1"/>
  <c r="A3088" i="1"/>
  <c r="A3742" i="1"/>
  <c r="A7813" i="1"/>
  <c r="A6508" i="1"/>
  <c r="A3087" i="1"/>
  <c r="A3987" i="1"/>
  <c r="A3042" i="1"/>
  <c r="A6444" i="1"/>
  <c r="A6443" i="1"/>
  <c r="A6392" i="1"/>
  <c r="A3610" i="1"/>
  <c r="A3399" i="1"/>
  <c r="A2067" i="1"/>
  <c r="A6352" i="1"/>
  <c r="A2803" i="1"/>
  <c r="A6350" i="1"/>
  <c r="A6883" i="1"/>
  <c r="A6051" i="1"/>
  <c r="A2649" i="1"/>
  <c r="A6101" i="1"/>
  <c r="A6100" i="1"/>
  <c r="A6099" i="1"/>
  <c r="A6098" i="1"/>
  <c r="A6097" i="1"/>
  <c r="A6096" i="1"/>
  <c r="A8015" i="1"/>
  <c r="A5347" i="1"/>
  <c r="A5698" i="1"/>
  <c r="A6039" i="1"/>
  <c r="A6037" i="1"/>
  <c r="A5502" i="1"/>
  <c r="A541" i="1"/>
  <c r="A6006" i="1"/>
  <c r="A6095" i="1"/>
  <c r="A5975" i="1"/>
  <c r="A4574" i="1"/>
  <c r="A5953" i="1"/>
  <c r="A1525" i="1"/>
  <c r="A8165" i="1"/>
  <c r="A5859" i="1"/>
  <c r="A5858" i="1"/>
  <c r="A5857" i="1"/>
  <c r="A5856" i="1"/>
  <c r="A5955" i="1"/>
  <c r="A5808" i="1"/>
  <c r="A1076" i="1"/>
  <c r="A7271" i="1"/>
  <c r="A5774" i="1"/>
  <c r="A5522" i="1"/>
  <c r="A5521" i="1"/>
  <c r="A5691" i="1"/>
  <c r="A4943" i="1"/>
  <c r="A5630" i="1"/>
  <c r="A5558" i="1"/>
  <c r="A3858" i="1"/>
  <c r="A5304" i="1"/>
  <c r="A6094" i="1"/>
  <c r="A5520" i="1"/>
  <c r="A5958" i="1"/>
  <c r="A482" i="1"/>
  <c r="A458" i="1"/>
  <c r="A7858" i="1"/>
  <c r="A5381" i="1"/>
  <c r="A7688" i="1"/>
  <c r="A5339" i="1"/>
  <c r="A6275" i="1"/>
  <c r="A5337" i="1"/>
  <c r="A5325" i="1"/>
  <c r="A5316" i="1"/>
  <c r="A3840" i="1"/>
  <c r="A4405" i="1"/>
  <c r="A5049" i="1"/>
  <c r="A5048" i="1"/>
  <c r="A5047" i="1"/>
  <c r="A4290" i="1"/>
  <c r="A2713" i="1"/>
  <c r="A684" i="1"/>
  <c r="A3566" i="1"/>
  <c r="A917" i="1"/>
  <c r="A6521" i="1"/>
  <c r="A4536" i="1"/>
  <c r="A2317" i="1"/>
  <c r="A7554" i="1"/>
  <c r="A1985" i="1"/>
  <c r="A516" i="1"/>
  <c r="A7973" i="1"/>
  <c r="A5046" i="1"/>
  <c r="A3420" i="1"/>
  <c r="A3986" i="1"/>
  <c r="A4570" i="1"/>
  <c r="A1395" i="1"/>
  <c r="A3234" i="1"/>
  <c r="A3580" i="1"/>
  <c r="A2376" i="1"/>
  <c r="A4495" i="1"/>
  <c r="A7979" i="1"/>
  <c r="A4296" i="1"/>
  <c r="A4285" i="1"/>
  <c r="A6093" i="1"/>
  <c r="A6092" i="1"/>
  <c r="A6091" i="1"/>
  <c r="A4374" i="1"/>
  <c r="A69" i="1"/>
  <c r="A8228" i="1"/>
  <c r="A4107" i="1"/>
  <c r="A6240" i="1"/>
  <c r="A6274" i="1"/>
  <c r="A1065" i="1"/>
  <c r="A4520" i="1"/>
  <c r="A3907" i="1"/>
  <c r="A3906" i="1"/>
  <c r="A3905" i="1"/>
  <c r="A1016" i="1"/>
  <c r="A4849" i="1"/>
  <c r="A916" i="1"/>
  <c r="A2674" i="1"/>
  <c r="A3904" i="1"/>
  <c r="A4469" i="1"/>
  <c r="A1439" i="1"/>
  <c r="A3903" i="1"/>
  <c r="A3902" i="1"/>
  <c r="A3626" i="1"/>
  <c r="A7164" i="1"/>
  <c r="A7009" i="1"/>
  <c r="A3579" i="1"/>
  <c r="A6273" i="1"/>
  <c r="A1965" i="1"/>
  <c r="A4466" i="1"/>
  <c r="A1579" i="1"/>
  <c r="A5482" i="1"/>
  <c r="A5896" i="1"/>
  <c r="A3391" i="1"/>
  <c r="A3303" i="1"/>
  <c r="A3285" i="1"/>
  <c r="A3218" i="1"/>
  <c r="A3205" i="1"/>
  <c r="A3191" i="1"/>
  <c r="A7764" i="1"/>
  <c r="A1642" i="1"/>
  <c r="A3105" i="1"/>
  <c r="A1696" i="1"/>
  <c r="A5045" i="1"/>
  <c r="A4732" i="1"/>
  <c r="A7746" i="1"/>
  <c r="A2489" i="1"/>
  <c r="A5044" i="1"/>
  <c r="A1954" i="1"/>
  <c r="A7889" i="1"/>
  <c r="A7972" i="1"/>
  <c r="A473" i="1"/>
  <c r="A2922" i="1"/>
  <c r="A6439" i="1"/>
  <c r="A6956" i="1"/>
  <c r="A6955" i="1"/>
  <c r="A6954" i="1"/>
  <c r="A6980" i="1"/>
  <c r="A2861" i="1"/>
  <c r="A2898" i="1"/>
  <c r="A8301" i="1"/>
  <c r="A5420" i="1"/>
  <c r="A5419" i="1"/>
  <c r="A2377" i="1"/>
  <c r="A5652" i="1"/>
  <c r="A2852" i="1"/>
  <c r="A2752" i="1"/>
  <c r="A2750" i="1"/>
  <c r="A515" i="1"/>
  <c r="A7525" i="1"/>
  <c r="A4965" i="1"/>
  <c r="A2634" i="1"/>
  <c r="A4777" i="1"/>
  <c r="A2617" i="1"/>
  <c r="A7123" i="1"/>
  <c r="A2576" i="1"/>
  <c r="A7645" i="1"/>
  <c r="A1047" i="1"/>
  <c r="A2479" i="1"/>
  <c r="A7823" i="1"/>
  <c r="A5556" i="1"/>
  <c r="A2434" i="1"/>
  <c r="A2104" i="1"/>
  <c r="A616" i="1"/>
  <c r="A4904" i="1"/>
  <c r="A1173" i="1"/>
  <c r="A5872" i="1"/>
  <c r="A1991" i="1"/>
  <c r="A2168" i="1"/>
  <c r="A3104" i="1"/>
  <c r="A1394" i="1"/>
  <c r="A5303" i="1"/>
  <c r="A2112" i="1"/>
  <c r="A2084" i="1"/>
  <c r="A3307" i="1"/>
  <c r="A4669" i="1"/>
  <c r="A8013" i="1"/>
  <c r="A2021" i="1"/>
  <c r="A1584" i="1"/>
  <c r="A5392" i="1"/>
  <c r="A2018" i="1"/>
  <c r="A2691" i="1"/>
  <c r="A4729" i="1"/>
  <c r="A5428" i="1"/>
  <c r="A7664" i="1"/>
  <c r="A4121" i="1"/>
  <c r="A1393" i="1"/>
  <c r="A1920" i="1"/>
  <c r="A2633" i="1"/>
  <c r="A6815" i="1"/>
  <c r="A3547" i="1"/>
  <c r="A6272" i="1"/>
  <c r="A1785" i="1"/>
  <c r="A1784" i="1"/>
  <c r="A1719" i="1"/>
  <c r="A1690" i="1"/>
  <c r="A1688" i="1"/>
  <c r="A1673" i="1"/>
  <c r="A1671" i="1"/>
  <c r="A6507" i="1"/>
  <c r="A1656" i="1"/>
  <c r="A1641" i="1"/>
  <c r="A1634" i="1"/>
  <c r="A5" i="1"/>
  <c r="A1597" i="1"/>
  <c r="A1575" i="1"/>
  <c r="A679" i="1"/>
  <c r="A8000" i="1"/>
  <c r="A6271" i="1"/>
  <c r="A1500" i="1"/>
  <c r="A4066" i="1"/>
  <c r="A4065" i="1"/>
  <c r="A1392" i="1"/>
  <c r="A1477" i="1"/>
  <c r="A1391" i="1"/>
  <c r="A2964" i="1"/>
  <c r="A2973" i="1"/>
  <c r="A1887" i="1"/>
  <c r="A1446" i="1"/>
  <c r="A1390" i="1"/>
  <c r="A1361" i="1"/>
  <c r="A1329" i="1"/>
  <c r="A7866" i="1"/>
  <c r="A1279" i="1"/>
  <c r="A1228" i="1"/>
  <c r="A3243" i="1"/>
  <c r="A1205" i="1"/>
  <c r="A5519" i="1"/>
  <c r="A5518" i="1"/>
  <c r="A2661" i="1"/>
  <c r="A1071" i="1"/>
  <c r="A8206" i="1"/>
  <c r="A5967" i="1"/>
  <c r="A1010" i="1"/>
  <c r="A1009" i="1"/>
  <c r="A1000" i="1"/>
  <c r="A960" i="1"/>
  <c r="A959" i="1"/>
  <c r="A3681" i="1"/>
  <c r="A915" i="1"/>
  <c r="A914" i="1"/>
  <c r="A913" i="1"/>
  <c r="A912" i="1"/>
  <c r="A911" i="1"/>
  <c r="A869" i="1"/>
  <c r="A910" i="1"/>
  <c r="A8494" i="1"/>
  <c r="A6747" i="1"/>
  <c r="A766" i="1"/>
  <c r="A735" i="1"/>
  <c r="A703" i="1"/>
  <c r="A1046" i="1"/>
  <c r="A573" i="1"/>
  <c r="A607" i="1"/>
  <c r="A7857" i="1"/>
  <c r="A7397" i="1"/>
  <c r="A371" i="1"/>
  <c r="A350" i="1"/>
  <c r="A202" i="1"/>
  <c r="A201" i="1"/>
  <c r="A200" i="1"/>
  <c r="A619" i="1"/>
  <c r="A6426" i="1"/>
  <c r="A110" i="1"/>
  <c r="A5734" i="1"/>
  <c r="A97" i="1"/>
  <c r="A7011" i="1"/>
  <c r="A7506" i="1"/>
  <c r="A6287" i="1"/>
  <c r="A5391" i="1"/>
  <c r="A6418" i="1"/>
  <c r="A927" i="1"/>
  <c r="A1625" i="1"/>
  <c r="A4163" i="1"/>
  <c r="A4162" i="1"/>
  <c r="A4161" i="1"/>
  <c r="A4160" i="1"/>
  <c r="A5043" i="1"/>
  <c r="A3523" i="1"/>
  <c r="A3001" i="1"/>
  <c r="A5042" i="1"/>
  <c r="A6176" i="1"/>
  <c r="A2755" i="1"/>
  <c r="A100" i="1"/>
  <c r="A4159" i="1"/>
  <c r="A7720" i="1"/>
  <c r="A7026" i="1"/>
  <c r="A1389" i="1"/>
  <c r="A1309" i="1"/>
  <c r="A4158" i="1"/>
  <c r="A7227" i="1"/>
  <c r="A2019" i="1"/>
  <c r="A8562" i="1"/>
  <c r="A8493" i="1"/>
  <c r="A6391" i="1"/>
  <c r="A170" i="1"/>
  <c r="A8466" i="1"/>
  <c r="A7859" i="1"/>
  <c r="A3985" i="1"/>
  <c r="A3984" i="1"/>
  <c r="A8449" i="1"/>
  <c r="A6591" i="1"/>
  <c r="A8423" i="1"/>
  <c r="A8426" i="1"/>
  <c r="A3559" i="1"/>
  <c r="A8419" i="1"/>
  <c r="A5041" i="1"/>
  <c r="A5895" i="1"/>
  <c r="A7838" i="1"/>
  <c r="A928" i="1"/>
  <c r="A7785" i="1"/>
  <c r="A8117" i="1"/>
  <c r="A1087" i="1"/>
  <c r="A8232" i="1"/>
  <c r="A8231" i="1"/>
  <c r="A8223" i="1"/>
  <c r="A8211" i="1"/>
  <c r="A5040" i="1"/>
  <c r="A2539" i="1"/>
  <c r="A2972" i="1"/>
  <c r="A6090" i="1"/>
  <c r="A8088" i="1"/>
  <c r="A5764" i="1"/>
  <c r="A7443" i="1"/>
  <c r="A3845" i="1"/>
  <c r="A2097" i="1"/>
  <c r="A8244" i="1"/>
  <c r="A8121" i="1"/>
  <c r="A8124" i="1"/>
  <c r="A4833" i="1"/>
  <c r="A1972" i="1"/>
  <c r="A3379" i="1"/>
  <c r="A7584" i="1"/>
  <c r="A1188" i="1"/>
  <c r="A8075" i="1"/>
  <c r="A8074" i="1"/>
  <c r="A5039" i="1"/>
  <c r="A5038" i="1"/>
  <c r="A5758" i="1"/>
  <c r="A406" i="1"/>
  <c r="A2892" i="1"/>
  <c r="A7992" i="1"/>
  <c r="A7748" i="1"/>
  <c r="A7978" i="1"/>
  <c r="A5998" i="1"/>
  <c r="A7961" i="1"/>
  <c r="A7922" i="1"/>
  <c r="A7921" i="1"/>
  <c r="A7920" i="1"/>
  <c r="A7919" i="1"/>
  <c r="A4220" i="1"/>
  <c r="A7902" i="1"/>
  <c r="A7901" i="1"/>
  <c r="A7528" i="1"/>
  <c r="A6967" i="1"/>
  <c r="A6688" i="1"/>
  <c r="A6687" i="1"/>
  <c r="A2787" i="1"/>
  <c r="A7837" i="1"/>
  <c r="A7836" i="1"/>
  <c r="A7835" i="1"/>
  <c r="A5798" i="1"/>
  <c r="A3378" i="1"/>
  <c r="A7738" i="1"/>
  <c r="A7719" i="1"/>
  <c r="A7718" i="1"/>
  <c r="A2404" i="1"/>
  <c r="A3344" i="1"/>
  <c r="A6643" i="1"/>
  <c r="A7649" i="1"/>
  <c r="A7635" i="1"/>
  <c r="A7778" i="1"/>
  <c r="A7614" i="1"/>
  <c r="A1831" i="1"/>
  <c r="A5530" i="1"/>
  <c r="A3775" i="1"/>
  <c r="A5540" i="1"/>
  <c r="A1617" i="1"/>
  <c r="A7577" i="1"/>
  <c r="A7574" i="1"/>
  <c r="A6837" i="1"/>
  <c r="A6786" i="1"/>
  <c r="A3691" i="1"/>
  <c r="A6785" i="1"/>
  <c r="A6836" i="1"/>
  <c r="A6784" i="1"/>
  <c r="A6835" i="1"/>
  <c r="A2087" i="1"/>
  <c r="A4760" i="1"/>
  <c r="A7246" i="1"/>
  <c r="A7086" i="1"/>
  <c r="A7085" i="1"/>
  <c r="A7511" i="1"/>
  <c r="A7480" i="1"/>
  <c r="A6783" i="1"/>
  <c r="A6686" i="1"/>
  <c r="A7465" i="1"/>
  <c r="A1718" i="1"/>
  <c r="A7463" i="1"/>
  <c r="A3901" i="1"/>
  <c r="A2622" i="1"/>
  <c r="A7444" i="1"/>
  <c r="A8294" i="1"/>
  <c r="A7369" i="1"/>
  <c r="A7368" i="1"/>
  <c r="A7367" i="1"/>
  <c r="A7366" i="1"/>
  <c r="A7365" i="1"/>
  <c r="A7364" i="1"/>
  <c r="A7363" i="1"/>
  <c r="A7362" i="1"/>
  <c r="A7361" i="1"/>
  <c r="A7360" i="1"/>
  <c r="A7329" i="1"/>
  <c r="A7297" i="1"/>
  <c r="A4059" i="1"/>
  <c r="A7694" i="1"/>
  <c r="A7307" i="1"/>
  <c r="A7183" i="1"/>
  <c r="A1139" i="1"/>
  <c r="A7276" i="1"/>
  <c r="A4313" i="1"/>
  <c r="A2626" i="1"/>
  <c r="A7259" i="1"/>
  <c r="A6587" i="1"/>
  <c r="A1510" i="1"/>
  <c r="A7245" i="1"/>
  <c r="A3809" i="1"/>
  <c r="A3814" i="1"/>
  <c r="A4942" i="1"/>
  <c r="A6450" i="1"/>
  <c r="A2189" i="1"/>
  <c r="A8108" i="1"/>
  <c r="A7171" i="1"/>
  <c r="A2737" i="1"/>
  <c r="A8497" i="1"/>
  <c r="A7109" i="1"/>
  <c r="A7084" i="1"/>
  <c r="A7059" i="1"/>
  <c r="A2785" i="1"/>
  <c r="A7042" i="1"/>
  <c r="A8390" i="1"/>
  <c r="A7010" i="1"/>
  <c r="A6998" i="1"/>
  <c r="A6969" i="1"/>
  <c r="A6932" i="1"/>
  <c r="A8288" i="1"/>
  <c r="A4266" i="1"/>
  <c r="A6895" i="1"/>
  <c r="A6181" i="1"/>
  <c r="A6867" i="1"/>
  <c r="A6866" i="1"/>
  <c r="A8037" i="1"/>
  <c r="A4265" i="1"/>
  <c r="A8574" i="1"/>
  <c r="A5037" i="1"/>
  <c r="A68" i="1"/>
  <c r="A6832" i="1"/>
  <c r="A7296" i="1"/>
  <c r="A1873" i="1"/>
  <c r="A1091" i="1"/>
  <c r="A6727" i="1"/>
  <c r="A6721" i="1"/>
  <c r="A6629" i="1"/>
  <c r="A6685" i="1"/>
  <c r="A6663" i="1"/>
  <c r="A6654" i="1"/>
  <c r="A4418" i="1"/>
  <c r="A114" i="1"/>
  <c r="A1187" i="1"/>
  <c r="A4264" i="1"/>
  <c r="A6608" i="1"/>
  <c r="A3217" i="1"/>
  <c r="A3558" i="1"/>
  <c r="A4260" i="1"/>
  <c r="A6593" i="1"/>
  <c r="A7504" i="1"/>
  <c r="A309" i="1"/>
  <c r="A6561" i="1"/>
  <c r="A6765" i="1"/>
  <c r="A6894" i="1"/>
  <c r="A5727" i="1"/>
  <c r="A1162" i="1"/>
  <c r="A5553" i="1"/>
  <c r="A6771" i="1"/>
  <c r="A5422" i="1"/>
  <c r="A5762" i="1"/>
  <c r="A4883" i="1"/>
  <c r="A6493" i="1"/>
  <c r="A5993" i="1"/>
  <c r="A1590" i="1"/>
  <c r="A6467" i="1"/>
  <c r="A6449" i="1"/>
  <c r="A999" i="1"/>
  <c r="A728" i="1"/>
  <c r="A6441" i="1"/>
  <c r="A4860" i="1"/>
  <c r="A6427" i="1"/>
  <c r="A8028" i="1"/>
  <c r="A6390" i="1"/>
  <c r="A6389" i="1"/>
  <c r="A1388" i="1"/>
  <c r="A6376" i="1"/>
  <c r="A6448" i="1"/>
  <c r="A6363" i="1"/>
  <c r="A7612" i="1"/>
  <c r="A6332" i="1"/>
  <c r="A2786" i="1"/>
  <c r="A7876" i="1"/>
  <c r="A6309" i="1"/>
  <c r="A6308" i="1"/>
  <c r="A6767" i="1"/>
  <c r="A6893" i="1"/>
  <c r="A6250" i="1"/>
  <c r="A2461" i="1"/>
  <c r="A1469" i="1"/>
  <c r="A3210" i="1"/>
  <c r="A6180" i="1"/>
  <c r="A6089" i="1"/>
  <c r="A6088" i="1"/>
  <c r="A6087" i="1"/>
  <c r="A6086" i="1"/>
  <c r="A6085" i="1"/>
  <c r="A6084" i="1"/>
  <c r="A6083" i="1"/>
  <c r="A6023" i="1"/>
  <c r="A6814" i="1"/>
  <c r="A2371" i="1"/>
  <c r="A6813" i="1"/>
  <c r="A6209" i="1"/>
  <c r="A6015" i="1"/>
  <c r="A8202" i="1"/>
  <c r="A5911" i="1"/>
  <c r="A2358" i="1"/>
  <c r="A7991" i="1"/>
  <c r="A18" i="1"/>
  <c r="A5871" i="1"/>
  <c r="A5853" i="1"/>
  <c r="A1953" i="1"/>
  <c r="A5552" i="1"/>
  <c r="A5830" i="1"/>
  <c r="A5829" i="1"/>
  <c r="A5820" i="1"/>
  <c r="A2544" i="1"/>
  <c r="A5742" i="1"/>
  <c r="A5761" i="1"/>
  <c r="A5809" i="1"/>
  <c r="A5629" i="1"/>
  <c r="A5592" i="1"/>
  <c r="A5561" i="1"/>
  <c r="A5526" i="1"/>
  <c r="A3654" i="1"/>
  <c r="A1524" i="1"/>
  <c r="A5435" i="1"/>
  <c r="A2667" i="1"/>
  <c r="A32" i="1"/>
  <c r="A5366" i="1"/>
  <c r="A6012" i="1"/>
  <c r="A7176" i="1"/>
  <c r="A6515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4964" i="1"/>
  <c r="A4941" i="1"/>
  <c r="A5621" i="1"/>
  <c r="A4859" i="1"/>
  <c r="A740" i="1"/>
  <c r="A996" i="1"/>
  <c r="A4841" i="1"/>
  <c r="A1064" i="1"/>
  <c r="A8405" i="1"/>
  <c r="A2488" i="1"/>
  <c r="A2487" i="1"/>
  <c r="A4811" i="1"/>
  <c r="A572" i="1"/>
  <c r="A4759" i="1"/>
  <c r="A4758" i="1"/>
  <c r="A8430" i="1"/>
  <c r="A8435" i="1"/>
  <c r="A405" i="1"/>
  <c r="A4680" i="1"/>
  <c r="A1078" i="1"/>
  <c r="A5022" i="1"/>
  <c r="A4665" i="1"/>
  <c r="A4611" i="1"/>
  <c r="A2986" i="1"/>
  <c r="A1082" i="1"/>
  <c r="A1610" i="1"/>
  <c r="A7775" i="1"/>
  <c r="A7113" i="1"/>
  <c r="A4553" i="1"/>
  <c r="A4552" i="1"/>
  <c r="A4517" i="1"/>
  <c r="A1387" i="1"/>
  <c r="A4500" i="1"/>
  <c r="A4498" i="1"/>
  <c r="A4484" i="1"/>
  <c r="A2855" i="1"/>
  <c r="A4454" i="1"/>
  <c r="A4453" i="1"/>
  <c r="A4414" i="1"/>
  <c r="A4423" i="1"/>
  <c r="A4421" i="1"/>
  <c r="A7359" i="1"/>
  <c r="A4401" i="1"/>
  <c r="A1157" i="1"/>
  <c r="A4370" i="1"/>
  <c r="A5021" i="1"/>
  <c r="A4363" i="1"/>
  <c r="A1939" i="1"/>
  <c r="A4342" i="1"/>
  <c r="A4341" i="1"/>
  <c r="A1109" i="1"/>
  <c r="A7628" i="1"/>
  <c r="A7774" i="1"/>
  <c r="A4327" i="1"/>
  <c r="A4323" i="1"/>
  <c r="A4320" i="1"/>
  <c r="A4368" i="1"/>
  <c r="A3009" i="1"/>
  <c r="A814" i="1"/>
  <c r="A4250" i="1"/>
  <c r="A4244" i="1"/>
  <c r="A4243" i="1"/>
  <c r="A4226" i="1"/>
  <c r="A4287" i="1"/>
  <c r="A4237" i="1"/>
  <c r="A7673" i="1"/>
  <c r="A6206" i="1"/>
  <c r="A571" i="1"/>
  <c r="A6082" i="1"/>
  <c r="A7834" i="1"/>
  <c r="A4196" i="1"/>
  <c r="A4185" i="1"/>
  <c r="A4108" i="1"/>
  <c r="A7408" i="1"/>
  <c r="A415" i="1"/>
  <c r="A4064" i="1"/>
  <c r="A7358" i="1"/>
  <c r="A5468" i="1"/>
  <c r="A4263" i="1"/>
  <c r="A3837" i="1"/>
  <c r="A1367" i="1"/>
  <c r="A3750" i="1"/>
  <c r="A5317" i="1"/>
  <c r="A3784" i="1"/>
  <c r="A4642" i="1"/>
  <c r="A314" i="1"/>
  <c r="A5382" i="1"/>
  <c r="A7679" i="1"/>
  <c r="A2089" i="1"/>
  <c r="A7881" i="1"/>
  <c r="A3738" i="1"/>
  <c r="A106" i="1"/>
  <c r="A6239" i="1"/>
  <c r="A4259" i="1"/>
  <c r="A3672" i="1"/>
  <c r="A3900" i="1"/>
  <c r="A3650" i="1"/>
  <c r="A1589" i="1"/>
  <c r="A8445" i="1"/>
  <c r="A3612" i="1"/>
  <c r="A1595" i="1"/>
  <c r="A7223" i="1"/>
  <c r="A2201" i="1"/>
  <c r="A1845" i="1"/>
  <c r="A3506" i="1"/>
  <c r="A4658" i="1"/>
  <c r="A2347" i="1"/>
  <c r="A3429" i="1"/>
  <c r="A3386" i="1"/>
  <c r="A1987" i="1"/>
  <c r="A3317" i="1"/>
  <c r="A3306" i="1"/>
  <c r="A3250" i="1"/>
  <c r="A3167" i="1"/>
  <c r="A5757" i="1"/>
  <c r="A3172" i="1"/>
  <c r="A3164" i="1"/>
  <c r="A3152" i="1"/>
  <c r="A3144" i="1"/>
  <c r="A6189" i="1"/>
  <c r="A3140" i="1"/>
  <c r="A3131" i="1"/>
  <c r="A2303" i="1"/>
  <c r="A77" i="1"/>
  <c r="A67" i="1"/>
  <c r="A3052" i="1"/>
  <c r="A3015" i="1"/>
  <c r="A7833" i="1"/>
  <c r="A7832" i="1"/>
  <c r="A3061" i="1"/>
  <c r="A4369" i="1"/>
  <c r="A2991" i="1"/>
  <c r="A2978" i="1"/>
  <c r="A7787" i="1"/>
  <c r="A2895" i="1"/>
  <c r="A2628" i="1"/>
  <c r="A2950" i="1"/>
  <c r="A2946" i="1"/>
  <c r="A2936" i="1"/>
  <c r="A1814" i="1"/>
  <c r="A2930" i="1"/>
  <c r="A1215" i="1"/>
  <c r="A3485" i="1"/>
  <c r="A2867" i="1"/>
  <c r="A3651" i="1"/>
  <c r="A3557" i="1"/>
  <c r="A3343" i="1"/>
  <c r="A2579" i="1"/>
  <c r="A8357" i="1"/>
  <c r="A404" i="1"/>
  <c r="A5529" i="1"/>
  <c r="A5528" i="1"/>
  <c r="A2847" i="1"/>
  <c r="A6349" i="1"/>
  <c r="A2831" i="1"/>
  <c r="A8282" i="1"/>
  <c r="A99" i="1"/>
  <c r="A7357" i="1"/>
  <c r="A2796" i="1"/>
  <c r="A2793" i="1"/>
  <c r="A3857" i="1"/>
  <c r="A3739" i="1"/>
  <c r="A4662" i="1"/>
  <c r="A2797" i="1"/>
  <c r="A313" i="1"/>
  <c r="A4184" i="1"/>
  <c r="A2716" i="1"/>
  <c r="A2714" i="1"/>
  <c r="A2562" i="1"/>
  <c r="A1523" i="1"/>
  <c r="A2632" i="1"/>
  <c r="A4692" i="1"/>
  <c r="A1509" i="1"/>
  <c r="A2664" i="1"/>
  <c r="A2783" i="1"/>
  <c r="A2675" i="1"/>
  <c r="A4380" i="1"/>
  <c r="A4324" i="1"/>
  <c r="A2601" i="1"/>
  <c r="A4599" i="1"/>
  <c r="A2586" i="1"/>
  <c r="A2587" i="1"/>
  <c r="A3436" i="1"/>
  <c r="A2403" i="1"/>
  <c r="A2402" i="1"/>
  <c r="A2401" i="1"/>
  <c r="A2537" i="1"/>
  <c r="A5828" i="1"/>
  <c r="A5827" i="1"/>
  <c r="A2400" i="1"/>
  <c r="A2399" i="1"/>
  <c r="A2398" i="1"/>
  <c r="A2397" i="1"/>
  <c r="A2396" i="1"/>
  <c r="A2395" i="1"/>
  <c r="A2394" i="1"/>
  <c r="A2393" i="1"/>
  <c r="A2392" i="1"/>
  <c r="A2445" i="1"/>
  <c r="A2370" i="1"/>
  <c r="A507" i="1"/>
  <c r="A2294" i="1"/>
  <c r="A1179" i="1"/>
  <c r="A6833" i="1"/>
  <c r="A2200" i="1"/>
  <c r="A2232" i="1"/>
  <c r="A2190" i="1"/>
  <c r="A2186" i="1"/>
  <c r="A2185" i="1"/>
  <c r="A2173" i="1"/>
  <c r="A295" i="1"/>
  <c r="A2160" i="1"/>
  <c r="A2132" i="1"/>
  <c r="A8568" i="1"/>
  <c r="A2095" i="1"/>
  <c r="A3899" i="1"/>
  <c r="A1117" i="1"/>
  <c r="A2053" i="1"/>
  <c r="A2013" i="1"/>
  <c r="A8346" i="1"/>
  <c r="A2024" i="1"/>
  <c r="A3020" i="1"/>
  <c r="A5498" i="1"/>
  <c r="A1940" i="1"/>
  <c r="A640" i="1"/>
  <c r="A5386" i="1"/>
  <c r="A1326" i="1"/>
  <c r="A386" i="1"/>
  <c r="A1899" i="1"/>
  <c r="A1886" i="1"/>
  <c r="A4927" i="1"/>
  <c r="A1870" i="1"/>
  <c r="A6934" i="1"/>
  <c r="A3717" i="1"/>
  <c r="A3716" i="1"/>
  <c r="A1838" i="1"/>
  <c r="A777" i="1"/>
  <c r="A6733" i="1"/>
  <c r="A6907" i="1"/>
  <c r="A8485" i="1"/>
  <c r="A111" i="1"/>
  <c r="A1717" i="1"/>
  <c r="A1716" i="1"/>
  <c r="A1715" i="1"/>
  <c r="A1714" i="1"/>
  <c r="A1713" i="1"/>
  <c r="A1712" i="1"/>
  <c r="A5020" i="1"/>
  <c r="A6769" i="1"/>
  <c r="A3103" i="1"/>
  <c r="A8465" i="1"/>
  <c r="A1633" i="1"/>
  <c r="A1632" i="1"/>
  <c r="A4920" i="1"/>
  <c r="A461" i="1"/>
  <c r="A1586" i="1"/>
  <c r="A3132" i="1"/>
  <c r="A4875" i="1"/>
  <c r="A8386" i="1"/>
  <c r="A7725" i="1"/>
  <c r="A1518" i="1"/>
  <c r="A5385" i="1"/>
  <c r="A1522" i="1"/>
  <c r="A1506" i="1"/>
  <c r="A1476" i="1"/>
  <c r="A1386" i="1"/>
  <c r="A1385" i="1"/>
  <c r="A5689" i="1"/>
  <c r="A5688" i="1"/>
  <c r="A5019" i="1"/>
  <c r="A1445" i="1"/>
  <c r="A8" i="1"/>
  <c r="A1347" i="1"/>
  <c r="A1312" i="1"/>
  <c r="A1278" i="1"/>
  <c r="A1259" i="1"/>
  <c r="A1242" i="1"/>
  <c r="A5726" i="1"/>
  <c r="A1199" i="1"/>
  <c r="A7149" i="1"/>
  <c r="A1086" i="1"/>
  <c r="A1116" i="1"/>
  <c r="A5593" i="1"/>
  <c r="A1055" i="1"/>
  <c r="A2486" i="1"/>
  <c r="A5018" i="1"/>
  <c r="A1034" i="1"/>
  <c r="A998" i="1"/>
  <c r="A958" i="1"/>
  <c r="A957" i="1"/>
  <c r="A956" i="1"/>
  <c r="A955" i="1"/>
  <c r="A7445" i="1"/>
  <c r="A2827" i="1"/>
  <c r="A3793" i="1"/>
  <c r="A2881" i="1"/>
  <c r="A776" i="1"/>
  <c r="A2600" i="1"/>
  <c r="A767" i="1"/>
  <c r="A747" i="1"/>
  <c r="A7737" i="1"/>
  <c r="A4940" i="1"/>
  <c r="A7929" i="1"/>
  <c r="A630" i="1"/>
  <c r="A4512" i="1"/>
  <c r="A570" i="1"/>
  <c r="A569" i="1"/>
  <c r="A568" i="1"/>
  <c r="A567" i="1"/>
  <c r="A566" i="1"/>
  <c r="A504" i="1"/>
  <c r="A471" i="1"/>
  <c r="A455" i="1"/>
  <c r="A410" i="1"/>
  <c r="A400" i="1"/>
  <c r="A3898" i="1"/>
  <c r="A301" i="1"/>
  <c r="A290" i="1"/>
  <c r="A199" i="1"/>
  <c r="A198" i="1"/>
  <c r="A197" i="1"/>
  <c r="A196" i="1"/>
  <c r="A195" i="1"/>
  <c r="A194" i="1"/>
  <c r="A165" i="1"/>
  <c r="A1711" i="1"/>
  <c r="A6388" i="1"/>
  <c r="A6578" i="1"/>
  <c r="A5628" i="1"/>
  <c r="A2187" i="1"/>
  <c r="A2599" i="1"/>
  <c r="A1008" i="1"/>
  <c r="A8104" i="1"/>
  <c r="A5431" i="1"/>
  <c r="A90" i="1"/>
  <c r="A3720" i="1"/>
  <c r="A6772" i="1"/>
  <c r="A6432" i="1"/>
  <c r="A318" i="1"/>
  <c r="A6251" i="1"/>
  <c r="A8414" i="1"/>
  <c r="A7998" i="1"/>
  <c r="A7989" i="1"/>
  <c r="A7971" i="1"/>
  <c r="A7970" i="1"/>
  <c r="A3804" i="1"/>
  <c r="A7855" i="1"/>
  <c r="A7685" i="1"/>
  <c r="A7959" i="1"/>
  <c r="A7630" i="1"/>
  <c r="A7559" i="1"/>
  <c r="A7018" i="1"/>
  <c r="A5651" i="1"/>
  <c r="A3760" i="1"/>
  <c r="A4578" i="1"/>
  <c r="A6953" i="1"/>
  <c r="A6952" i="1"/>
  <c r="A6951" i="1"/>
  <c r="A3478" i="1"/>
  <c r="A2259" i="1"/>
  <c r="A4430" i="1"/>
  <c r="A7005" i="1"/>
  <c r="A6612" i="1"/>
  <c r="A6260" i="1"/>
  <c r="A498" i="1"/>
  <c r="A4775" i="1"/>
  <c r="A6502" i="1"/>
  <c r="A6311" i="1"/>
  <c r="A7812" i="1"/>
  <c r="A8413" i="1"/>
  <c r="A5847" i="1"/>
  <c r="A1075" i="1"/>
  <c r="A5790" i="1"/>
  <c r="A5739" i="1"/>
  <c r="A5642" i="1"/>
  <c r="A2888" i="1"/>
  <c r="A5411" i="1"/>
  <c r="A5384" i="1"/>
  <c r="A5380" i="1"/>
  <c r="A6270" i="1"/>
  <c r="A4912" i="1"/>
  <c r="A4892" i="1"/>
  <c r="A909" i="1"/>
  <c r="A4655" i="1"/>
  <c r="A4591" i="1"/>
  <c r="A2386" i="1"/>
  <c r="A5351" i="1"/>
  <c r="A828" i="1"/>
  <c r="A4146" i="1"/>
  <c r="A3686" i="1"/>
  <c r="A1240" i="1"/>
  <c r="A1239" i="1"/>
  <c r="A699" i="1"/>
  <c r="A705" i="1"/>
  <c r="A8417" i="1"/>
  <c r="A3515" i="1"/>
  <c r="A2834" i="1"/>
  <c r="A3609" i="1"/>
  <c r="A2959" i="1"/>
  <c r="A2942" i="1"/>
  <c r="A2933" i="1"/>
  <c r="A2921" i="1"/>
  <c r="A2920" i="1"/>
  <c r="A2919" i="1"/>
  <c r="A3744" i="1"/>
  <c r="A2779" i="1"/>
  <c r="A1491" i="1"/>
  <c r="A4429" i="1"/>
  <c r="A2385" i="1"/>
  <c r="A2384" i="1"/>
  <c r="A2305" i="1"/>
  <c r="A6269" i="1"/>
  <c r="A3864" i="1"/>
  <c r="A2063" i="1"/>
  <c r="A476" i="1"/>
  <c r="A908" i="1"/>
  <c r="A6268" i="1"/>
  <c r="A5650" i="1"/>
  <c r="A6267" i="1"/>
  <c r="A1504" i="1"/>
  <c r="A907" i="1"/>
  <c r="A1238" i="1"/>
  <c r="A1237" i="1"/>
  <c r="A7894" i="1"/>
  <c r="A906" i="1"/>
  <c r="A905" i="1"/>
  <c r="A904" i="1"/>
  <c r="A903" i="1"/>
  <c r="A902" i="1"/>
  <c r="A901" i="1"/>
  <c r="A900" i="1"/>
  <c r="A899" i="1"/>
  <c r="A1578" i="1"/>
  <c r="A734" i="1"/>
  <c r="A143" i="1"/>
  <c r="A138" i="1"/>
  <c r="A7731" i="1"/>
  <c r="A7811" i="1"/>
  <c r="A64" i="1"/>
  <c r="A6296" i="1"/>
  <c r="A8552" i="1"/>
  <c r="A8516" i="1"/>
  <c r="A8456" i="1"/>
  <c r="A6927" i="1"/>
  <c r="A4653" i="1"/>
  <c r="A8243" i="1"/>
  <c r="A8242" i="1"/>
  <c r="A5017" i="1"/>
  <c r="A6520" i="1"/>
  <c r="A4939" i="1"/>
  <c r="A4416" i="1"/>
  <c r="A3435" i="1"/>
  <c r="A509" i="1"/>
  <c r="A6280" i="1"/>
  <c r="A1277" i="1"/>
  <c r="A7058" i="1"/>
  <c r="A7476" i="1"/>
  <c r="A7459" i="1"/>
  <c r="A6081" i="1"/>
  <c r="A5016" i="1"/>
  <c r="A4462" i="1"/>
  <c r="A7147" i="1"/>
  <c r="A6902" i="1"/>
  <c r="A8289" i="1"/>
  <c r="A4624" i="1"/>
  <c r="A6812" i="1"/>
  <c r="A3652" i="1"/>
  <c r="A6731" i="1"/>
  <c r="A6724" i="1"/>
  <c r="A3830" i="1"/>
  <c r="A2131" i="1"/>
  <c r="A1654" i="1"/>
  <c r="A8122" i="1"/>
  <c r="A6229" i="1"/>
  <c r="A833" i="1"/>
  <c r="A6811" i="1"/>
  <c r="A2854" i="1"/>
  <c r="A1704" i="1"/>
  <c r="A4938" i="1"/>
  <c r="A5015" i="1"/>
  <c r="A5014" i="1"/>
  <c r="A5013" i="1"/>
  <c r="A4795" i="1"/>
  <c r="A2199" i="1"/>
  <c r="A4643" i="1"/>
  <c r="A4610" i="1"/>
  <c r="A7221" i="1"/>
  <c r="A6684" i="1"/>
  <c r="A6574" i="1"/>
  <c r="A3789" i="1"/>
  <c r="A7963" i="1"/>
  <c r="A3897" i="1"/>
  <c r="A3434" i="1"/>
  <c r="A8454" i="1"/>
  <c r="A379" i="1"/>
  <c r="A797" i="1"/>
  <c r="A5972" i="1"/>
  <c r="A7769" i="1"/>
  <c r="A3249" i="1"/>
  <c r="A2164" i="1"/>
  <c r="A7347" i="1"/>
  <c r="A1384" i="1"/>
  <c r="A3730" i="1"/>
  <c r="A4321" i="1"/>
  <c r="A2470" i="1"/>
  <c r="A2757" i="1"/>
  <c r="A2231" i="1"/>
  <c r="A2631" i="1"/>
  <c r="A2630" i="1"/>
  <c r="A1962" i="1"/>
  <c r="A565" i="1"/>
  <c r="A5585" i="1"/>
  <c r="A5587" i="1"/>
  <c r="A2101" i="1"/>
  <c r="A1918" i="1"/>
  <c r="A4157" i="1"/>
  <c r="A8035" i="1"/>
  <c r="A1236" i="1"/>
  <c r="A1811" i="1"/>
  <c r="A4063" i="1"/>
  <c r="A1276" i="1"/>
  <c r="A1132" i="1"/>
  <c r="A3783" i="1"/>
  <c r="A7631" i="1"/>
  <c r="A2314" i="1"/>
  <c r="A6959" i="1"/>
  <c r="A2359" i="1"/>
  <c r="A6810" i="1"/>
  <c r="A477" i="1"/>
  <c r="A460" i="1"/>
  <c r="A2198" i="1"/>
  <c r="A193" i="1"/>
  <c r="A4149" i="1"/>
  <c r="A3045" i="1"/>
  <c r="A8563" i="1"/>
  <c r="A8517" i="1"/>
  <c r="A8486" i="1"/>
  <c r="A8464" i="1"/>
  <c r="A8455" i="1"/>
  <c r="A3983" i="1"/>
  <c r="A3982" i="1"/>
  <c r="A8450" i="1"/>
  <c r="A6712" i="1"/>
  <c r="A8241" i="1"/>
  <c r="A8240" i="1"/>
  <c r="A1383" i="1"/>
  <c r="A6568" i="1"/>
  <c r="A4224" i="1"/>
  <c r="A5012" i="1"/>
  <c r="A5011" i="1"/>
  <c r="A8416" i="1"/>
  <c r="A8404" i="1"/>
  <c r="A6567" i="1"/>
  <c r="A8379" i="1"/>
  <c r="A6768" i="1"/>
  <c r="A3896" i="1"/>
  <c r="A6080" i="1"/>
  <c r="A1710" i="1"/>
  <c r="A1709" i="1"/>
  <c r="A6662" i="1"/>
  <c r="A1571" i="1"/>
  <c r="A3360" i="1"/>
  <c r="A4839" i="1"/>
  <c r="A8277" i="1"/>
  <c r="A4349" i="1"/>
  <c r="A7565" i="1"/>
  <c r="A7564" i="1"/>
  <c r="A8239" i="1"/>
  <c r="A8238" i="1"/>
  <c r="A8237" i="1"/>
  <c r="A1827" i="1"/>
  <c r="A8203" i="1"/>
  <c r="A8193" i="1"/>
  <c r="A2725" i="1"/>
  <c r="A8168" i="1"/>
  <c r="A466" i="1"/>
  <c r="A7541" i="1"/>
  <c r="A8161" i="1"/>
  <c r="A8132" i="1"/>
  <c r="A8146" i="1"/>
  <c r="A8145" i="1"/>
  <c r="A8127" i="1"/>
  <c r="A3687" i="1"/>
  <c r="A6442" i="1"/>
  <c r="A2856" i="1"/>
  <c r="A1165" i="1"/>
  <c r="A8046" i="1"/>
  <c r="A1521" i="1"/>
  <c r="A6846" i="1"/>
  <c r="A8025" i="1"/>
  <c r="A8007" i="1"/>
  <c r="A3660" i="1"/>
  <c r="A5649" i="1"/>
  <c r="A3895" i="1"/>
  <c r="A1644" i="1"/>
  <c r="A7810" i="1"/>
  <c r="A7935" i="1"/>
  <c r="A7918" i="1"/>
  <c r="A2621" i="1"/>
  <c r="A802" i="1"/>
  <c r="A7896" i="1"/>
  <c r="A3894" i="1"/>
  <c r="A7831" i="1"/>
  <c r="A7830" i="1"/>
  <c r="A7809" i="1"/>
  <c r="A3799" i="1"/>
  <c r="A3782" i="1"/>
  <c r="A3248" i="1"/>
  <c r="A7724" i="1"/>
  <c r="A6566" i="1"/>
  <c r="A6022" i="1"/>
  <c r="A7491" i="1"/>
  <c r="A7668" i="1"/>
  <c r="A1990" i="1"/>
  <c r="A6640" i="1"/>
  <c r="A10" i="1"/>
  <c r="A8024" i="1"/>
  <c r="A3797" i="1"/>
  <c r="A8475" i="1"/>
  <c r="A7236" i="1"/>
  <c r="A21" i="1"/>
  <c r="A7627" i="1"/>
  <c r="A1382" i="1"/>
  <c r="A6266" i="1"/>
  <c r="A6941" i="1"/>
  <c r="A7594" i="1"/>
  <c r="A7576" i="1"/>
  <c r="A1952" i="1"/>
  <c r="A5600" i="1"/>
  <c r="A4397" i="1"/>
  <c r="A7356" i="1"/>
  <c r="A3690" i="1"/>
  <c r="A1826" i="1"/>
  <c r="A7516" i="1"/>
  <c r="A6910" i="1"/>
  <c r="A7083" i="1"/>
  <c r="A7082" i="1"/>
  <c r="A7081" i="1"/>
  <c r="A7080" i="1"/>
  <c r="A7079" i="1"/>
  <c r="A7514" i="1"/>
  <c r="A6675" i="1"/>
  <c r="A8268" i="1"/>
  <c r="A8267" i="1"/>
  <c r="A6387" i="1"/>
  <c r="A6519" i="1"/>
  <c r="A3422" i="1"/>
  <c r="A7417" i="1"/>
  <c r="A7402" i="1"/>
  <c r="A7400" i="1"/>
  <c r="A5997" i="1"/>
  <c r="A2119" i="1"/>
  <c r="A7127" i="1"/>
  <c r="A3239" i="1"/>
  <c r="A3332" i="1"/>
  <c r="A7319" i="1"/>
  <c r="A3202" i="1"/>
  <c r="A4440" i="1"/>
  <c r="A7289" i="1"/>
  <c r="A7292" i="1"/>
  <c r="A7291" i="1"/>
  <c r="A7820" i="1"/>
  <c r="A3671" i="1"/>
  <c r="A5996" i="1"/>
  <c r="A6653" i="1"/>
  <c r="A4475" i="1"/>
  <c r="A696" i="1"/>
  <c r="A3803" i="1"/>
  <c r="A7204" i="1"/>
  <c r="A2191" i="1"/>
  <c r="A7751" i="1"/>
  <c r="A7154" i="1"/>
  <c r="A403" i="1"/>
  <c r="A3068" i="1"/>
  <c r="A7078" i="1"/>
  <c r="A7077" i="1"/>
  <c r="A7076" i="1"/>
  <c r="A7032" i="1"/>
  <c r="A7025" i="1"/>
  <c r="A7024" i="1"/>
  <c r="A4491" i="1"/>
  <c r="A7004" i="1"/>
  <c r="A180" i="1"/>
  <c r="A6500" i="1"/>
  <c r="A6336" i="1"/>
  <c r="A6892" i="1"/>
  <c r="A6891" i="1"/>
  <c r="A6890" i="1"/>
  <c r="A1867" i="1"/>
  <c r="A6755" i="1"/>
  <c r="A1275" i="1"/>
  <c r="A6849" i="1"/>
  <c r="A4937" i="1"/>
  <c r="A6809" i="1"/>
  <c r="A6808" i="1"/>
  <c r="A6807" i="1"/>
  <c r="A6806" i="1"/>
  <c r="A6805" i="1"/>
  <c r="A4907" i="1"/>
  <c r="A7235" i="1"/>
  <c r="A7598" i="1"/>
  <c r="A4885" i="1"/>
  <c r="A8133" i="1"/>
  <c r="A5843" i="1"/>
  <c r="A4656" i="1"/>
  <c r="A6881" i="1"/>
  <c r="A6669" i="1"/>
  <c r="A6647" i="1"/>
  <c r="A1081" i="1"/>
  <c r="A3171" i="1"/>
  <c r="A6609" i="1"/>
  <c r="A4583" i="1"/>
  <c r="A1303" i="1"/>
  <c r="A7034" i="1"/>
  <c r="A6548" i="1"/>
  <c r="A8530" i="1"/>
  <c r="A1093" i="1"/>
  <c r="A6079" i="1"/>
  <c r="A1323" i="1"/>
  <c r="A6536" i="1"/>
  <c r="A3836" i="1"/>
  <c r="A453" i="1"/>
  <c r="A5826" i="1"/>
  <c r="A7953" i="1"/>
  <c r="A7274" i="1"/>
  <c r="A3569" i="1"/>
  <c r="A6307" i="1"/>
  <c r="A6495" i="1"/>
  <c r="A7503" i="1"/>
  <c r="A6434" i="1"/>
  <c r="A3643" i="1"/>
  <c r="A3642" i="1"/>
  <c r="A6421" i="1"/>
  <c r="A6386" i="1"/>
  <c r="A6372" i="1"/>
  <c r="A6370" i="1"/>
  <c r="A6366" i="1"/>
  <c r="A6424" i="1"/>
  <c r="A6345" i="1"/>
  <c r="A6338" i="1"/>
  <c r="A8081" i="1"/>
  <c r="A4838" i="1"/>
  <c r="A683" i="1"/>
  <c r="A5945" i="1"/>
  <c r="A4836" i="1"/>
  <c r="A7977" i="1"/>
  <c r="A2391" i="1"/>
  <c r="A4936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47" i="1"/>
  <c r="A4506" i="1"/>
  <c r="A2620" i="1"/>
  <c r="A3409" i="1"/>
  <c r="A5995" i="1"/>
  <c r="A8031" i="1"/>
  <c r="A6018" i="1"/>
  <c r="A5992" i="1"/>
  <c r="A5974" i="1"/>
  <c r="A5627" i="1"/>
  <c r="A5949" i="1"/>
  <c r="A5944" i="1"/>
  <c r="A8073" i="1"/>
  <c r="A5918" i="1"/>
  <c r="A5927" i="1"/>
  <c r="A6648" i="1"/>
  <c r="A5906" i="1"/>
  <c r="A6658" i="1"/>
  <c r="A5802" i="1"/>
  <c r="A5825" i="1"/>
  <c r="A5824" i="1"/>
  <c r="A5823" i="1"/>
  <c r="A7331" i="1"/>
  <c r="A2118" i="1"/>
  <c r="A5788" i="1"/>
  <c r="A9" i="1"/>
  <c r="A7401" i="1"/>
  <c r="A5517" i="1"/>
  <c r="A2230" i="1"/>
  <c r="A2135" i="1"/>
  <c r="A5591" i="1"/>
  <c r="A5590" i="1"/>
  <c r="A5557" i="1"/>
  <c r="A7808" i="1"/>
  <c r="A7807" i="1"/>
  <c r="A5462" i="1"/>
  <c r="A5403" i="1"/>
  <c r="A6565" i="1"/>
  <c r="A457" i="1"/>
  <c r="A1653" i="1"/>
  <c r="A3893" i="1"/>
  <c r="A5354" i="1"/>
  <c r="A5341" i="1"/>
  <c r="A5324" i="1"/>
  <c r="A5323" i="1"/>
  <c r="A5322" i="1"/>
  <c r="A4465" i="1"/>
  <c r="A5302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295" i="1"/>
  <c r="A4914" i="1"/>
  <c r="A4893" i="1"/>
  <c r="A995" i="1"/>
  <c r="A4846" i="1"/>
  <c r="A5797" i="1"/>
  <c r="A6038" i="1"/>
  <c r="A4812" i="1"/>
  <c r="A2270" i="1"/>
  <c r="A4752" i="1"/>
  <c r="A4373" i="1"/>
  <c r="A1508" i="1"/>
  <c r="A4837" i="1"/>
  <c r="A7041" i="1"/>
  <c r="A4961" i="1"/>
  <c r="A3294" i="1"/>
  <c r="A4609" i="1"/>
  <c r="A564" i="1"/>
  <c r="A4935" i="1"/>
  <c r="A8394" i="1"/>
  <c r="A7144" i="1"/>
  <c r="A7553" i="1"/>
  <c r="A7330" i="1"/>
  <c r="A3133" i="1"/>
  <c r="A7759" i="1"/>
  <c r="A4551" i="1"/>
  <c r="A4633" i="1"/>
  <c r="A5491" i="1"/>
  <c r="A1628" i="1"/>
  <c r="A174" i="1"/>
  <c r="A4433" i="1"/>
  <c r="A4379" i="1"/>
  <c r="A5481" i="1"/>
  <c r="A4315" i="1"/>
  <c r="A3284" i="1"/>
  <c r="A4302" i="1"/>
  <c r="A2598" i="1"/>
  <c r="A6062" i="1"/>
  <c r="A4200" i="1"/>
  <c r="A4183" i="1"/>
  <c r="A4100" i="1"/>
  <c r="A4091" i="1"/>
  <c r="A493" i="1"/>
  <c r="A3102" i="1"/>
  <c r="A7148" i="1"/>
  <c r="A7439" i="1"/>
  <c r="A7343" i="1"/>
  <c r="A3892" i="1"/>
  <c r="A3659" i="1"/>
  <c r="A3891" i="1"/>
  <c r="A3890" i="1"/>
  <c r="A3889" i="1"/>
  <c r="A3888" i="1"/>
  <c r="A3887" i="1"/>
  <c r="A3886" i="1"/>
  <c r="A3885" i="1"/>
  <c r="A3884" i="1"/>
  <c r="A3973" i="1"/>
  <c r="A3883" i="1"/>
  <c r="A3882" i="1"/>
  <c r="A3881" i="1"/>
  <c r="A2684" i="1"/>
  <c r="A3856" i="1"/>
  <c r="A7776" i="1"/>
  <c r="A6385" i="1"/>
  <c r="A6384" i="1"/>
  <c r="A6383" i="1"/>
  <c r="A1346" i="1"/>
  <c r="A2197" i="1"/>
  <c r="A2125" i="1"/>
  <c r="A698" i="1"/>
  <c r="A7513" i="1"/>
  <c r="A3880" i="1"/>
  <c r="A3781" i="1"/>
  <c r="A3780" i="1"/>
  <c r="A3779" i="1"/>
  <c r="A327" i="1"/>
  <c r="A7678" i="1"/>
  <c r="A6211" i="1"/>
  <c r="A7409" i="1"/>
  <c r="A3706" i="1"/>
  <c r="A4845" i="1"/>
  <c r="A6214" i="1"/>
  <c r="A3862" i="1"/>
  <c r="A3768" i="1"/>
  <c r="A3879" i="1"/>
  <c r="A3878" i="1"/>
  <c r="A3877" i="1"/>
  <c r="A7644" i="1"/>
  <c r="A3635" i="1"/>
  <c r="A3628" i="1"/>
  <c r="A3578" i="1"/>
  <c r="A3505" i="1"/>
  <c r="A3504" i="1"/>
  <c r="A3503" i="1"/>
  <c r="A7806" i="1"/>
  <c r="A5516" i="1"/>
  <c r="A1964" i="1"/>
  <c r="A3480" i="1"/>
  <c r="A3433" i="1"/>
  <c r="A3577" i="1"/>
  <c r="A3576" i="1"/>
  <c r="A3369" i="1"/>
  <c r="A3359" i="1"/>
  <c r="A4336" i="1"/>
  <c r="A3337" i="1"/>
  <c r="A1115" i="1"/>
  <c r="A3212" i="1"/>
  <c r="A3311" i="1"/>
  <c r="A3293" i="1"/>
  <c r="A3292" i="1"/>
  <c r="A3022" i="1"/>
  <c r="A3199" i="1"/>
  <c r="A5560" i="1"/>
  <c r="A3091" i="1"/>
  <c r="A7055" i="1"/>
  <c r="A3159" i="1"/>
  <c r="A3147" i="1"/>
  <c r="A6188" i="1"/>
  <c r="A5795" i="1"/>
  <c r="A3083" i="1"/>
  <c r="A2158" i="1"/>
  <c r="A7762" i="1"/>
  <c r="A66" i="1"/>
  <c r="A3056" i="1"/>
  <c r="A8388" i="1"/>
  <c r="A2" i="1"/>
  <c r="A7017" i="1"/>
  <c r="A2990" i="1"/>
  <c r="A2976" i="1"/>
  <c r="A2961" i="1"/>
  <c r="A2954" i="1"/>
  <c r="A2918" i="1"/>
  <c r="A2917" i="1"/>
  <c r="A2916" i="1"/>
  <c r="A2915" i="1"/>
  <c r="A2914" i="1"/>
  <c r="A2913" i="1"/>
  <c r="A2912" i="1"/>
  <c r="A2911" i="1"/>
  <c r="A2927" i="1"/>
  <c r="A7168" i="1"/>
  <c r="A2971" i="1"/>
  <c r="A2843" i="1"/>
  <c r="A4538" i="1"/>
  <c r="A8474" i="1"/>
  <c r="A2775" i="1"/>
  <c r="A2732" i="1"/>
  <c r="A3198" i="1"/>
  <c r="A2689" i="1"/>
  <c r="A2673" i="1"/>
  <c r="A2616" i="1"/>
  <c r="A7122" i="1"/>
  <c r="A4493" i="1"/>
  <c r="A2578" i="1"/>
  <c r="A2575" i="1"/>
  <c r="A2574" i="1"/>
  <c r="A2573" i="1"/>
  <c r="A3502" i="1"/>
  <c r="A4090" i="1"/>
  <c r="A2566" i="1"/>
  <c r="A2536" i="1"/>
  <c r="A2485" i="1"/>
  <c r="A4242" i="1"/>
  <c r="A4262" i="1"/>
  <c r="A2282" i="1"/>
  <c r="A2319" i="1"/>
  <c r="A2335" i="1"/>
  <c r="A5475" i="1"/>
  <c r="A2306" i="1"/>
  <c r="A2301" i="1"/>
  <c r="A6265" i="1"/>
  <c r="A2229" i="1"/>
  <c r="A5312" i="1"/>
  <c r="A3008" i="1"/>
  <c r="A2167" i="1"/>
  <c r="A3876" i="1"/>
  <c r="A3875" i="1"/>
  <c r="A402" i="1"/>
  <c r="A2228" i="1"/>
  <c r="A2227" i="1"/>
  <c r="A1926" i="1"/>
  <c r="A3778" i="1"/>
  <c r="A2099" i="1"/>
  <c r="A6804" i="1"/>
  <c r="A4515" i="1"/>
  <c r="A2069" i="1"/>
  <c r="A4668" i="1"/>
  <c r="A813" i="1"/>
  <c r="A812" i="1"/>
  <c r="A2044" i="1"/>
  <c r="A1989" i="1"/>
  <c r="A2012" i="1"/>
  <c r="A2009" i="1"/>
  <c r="A6178" i="1"/>
  <c r="A4540" i="1"/>
  <c r="A7250" i="1"/>
  <c r="A1085" i="1"/>
  <c r="A811" i="1"/>
  <c r="A1381" i="1"/>
  <c r="A1380" i="1"/>
  <c r="A1379" i="1"/>
  <c r="A6382" i="1"/>
  <c r="A497" i="1"/>
  <c r="A140" i="1"/>
  <c r="A1932" i="1"/>
  <c r="A1900" i="1"/>
  <c r="A1898" i="1"/>
  <c r="A31" i="1"/>
  <c r="A7563" i="1"/>
  <c r="A1869" i="1"/>
  <c r="A1864" i="1"/>
  <c r="A1861" i="1"/>
  <c r="A3821" i="1"/>
  <c r="A440" i="1"/>
  <c r="A1844" i="1"/>
  <c r="A5822" i="1"/>
  <c r="A4350" i="1"/>
  <c r="A1825" i="1"/>
  <c r="A8061" i="1"/>
  <c r="A1783" i="1"/>
  <c r="A1782" i="1"/>
  <c r="A1781" i="1"/>
  <c r="A1708" i="1"/>
  <c r="A1707" i="1"/>
  <c r="A1706" i="1"/>
  <c r="A1679" i="1"/>
  <c r="A1358" i="1"/>
  <c r="A1657" i="1"/>
  <c r="A1647" i="1"/>
  <c r="A1645" i="1"/>
  <c r="A3101" i="1"/>
  <c r="A3100" i="1"/>
  <c r="A1631" i="1"/>
  <c r="A1622" i="1"/>
  <c r="A1620" i="1"/>
  <c r="A1069" i="1"/>
  <c r="A2724" i="1"/>
  <c r="A8236" i="1"/>
  <c r="A1556" i="1"/>
  <c r="A1492" i="1"/>
  <c r="A4062" i="1"/>
  <c r="A1378" i="1"/>
  <c r="A1377" i="1"/>
  <c r="A4372" i="1"/>
  <c r="A4371" i="1"/>
  <c r="A8226" i="1"/>
  <c r="A8036" i="1"/>
  <c r="A2963" i="1"/>
  <c r="A1043" i="1"/>
  <c r="A1440" i="1"/>
  <c r="A1376" i="1"/>
  <c r="A1357" i="1"/>
  <c r="A4923" i="1"/>
  <c r="A1342" i="1"/>
  <c r="A1336" i="1"/>
  <c r="A1316" i="1"/>
  <c r="A8207" i="1"/>
  <c r="A1274" i="1"/>
  <c r="A1273" i="1"/>
  <c r="A1272" i="1"/>
  <c r="A1271" i="1"/>
  <c r="A1270" i="1"/>
  <c r="A7487" i="1"/>
  <c r="A1227" i="1"/>
  <c r="A1226" i="1"/>
  <c r="A294" i="1"/>
  <c r="A7827" i="1"/>
  <c r="A2592" i="1"/>
  <c r="A2066" i="1"/>
  <c r="A4997" i="1"/>
  <c r="A3390" i="1"/>
  <c r="A6259" i="1"/>
  <c r="A1114" i="1"/>
  <c r="A7165" i="1"/>
  <c r="A1054" i="1"/>
  <c r="A1863" i="1"/>
  <c r="A8144" i="1"/>
  <c r="A7471" i="1"/>
  <c r="A4996" i="1"/>
  <c r="A4995" i="1"/>
  <c r="A1031" i="1"/>
  <c r="A1030" i="1"/>
  <c r="A1029" i="1"/>
  <c r="A2273" i="1"/>
  <c r="A992" i="1"/>
  <c r="A954" i="1"/>
  <c r="A953" i="1"/>
  <c r="A952" i="1"/>
  <c r="A951" i="1"/>
  <c r="A950" i="1"/>
  <c r="A4428" i="1"/>
  <c r="A1375" i="1"/>
  <c r="A3310" i="1"/>
  <c r="A5894" i="1"/>
  <c r="A2368" i="1"/>
  <c r="A898" i="1"/>
  <c r="A897" i="1"/>
  <c r="A1374" i="1"/>
  <c r="A2262" i="1"/>
  <c r="A6909" i="1"/>
  <c r="A3773" i="1"/>
  <c r="A3874" i="1"/>
  <c r="A756" i="1"/>
  <c r="A755" i="1"/>
  <c r="A754" i="1"/>
  <c r="A753" i="1"/>
  <c r="A752" i="1"/>
  <c r="A751" i="1"/>
  <c r="A8111" i="1"/>
  <c r="A2807" i="1"/>
  <c r="A2806" i="1"/>
  <c r="A4994" i="1"/>
  <c r="A644" i="1"/>
  <c r="A632" i="1"/>
  <c r="A629" i="1"/>
  <c r="A563" i="1"/>
  <c r="A562" i="1"/>
  <c r="A561" i="1"/>
  <c r="A560" i="1"/>
  <c r="A559" i="1"/>
  <c r="A558" i="1"/>
  <c r="A540" i="1"/>
  <c r="A3247" i="1"/>
  <c r="A3246" i="1"/>
  <c r="A487" i="1"/>
  <c r="A439" i="1"/>
  <c r="A438" i="1"/>
  <c r="A418" i="1"/>
  <c r="A409" i="1"/>
  <c r="A398" i="1"/>
  <c r="A397" i="1"/>
  <c r="A391" i="1"/>
  <c r="A1577" i="1"/>
  <c r="A192" i="1"/>
  <c r="A191" i="1"/>
  <c r="A190" i="1"/>
  <c r="A189" i="1"/>
  <c r="A2962" i="1"/>
  <c r="A7006" i="1"/>
  <c r="A3641" i="1"/>
  <c r="A3484" i="1"/>
  <c r="A618" i="1"/>
  <c r="A5850" i="1"/>
  <c r="A5849" i="1"/>
  <c r="A124" i="1"/>
  <c r="A118" i="1"/>
  <c r="A117" i="1"/>
  <c r="A7585" i="1"/>
  <c r="A6485" i="1"/>
  <c r="A6933" i="1"/>
  <c r="A4539" i="1"/>
  <c r="A7355" i="1"/>
  <c r="A1836" i="1"/>
  <c r="A81" i="1"/>
  <c r="A4884" i="1"/>
  <c r="A5874" i="1"/>
  <c r="A4675" i="1"/>
  <c r="A1780" i="1"/>
  <c r="A7191" i="1"/>
  <c r="A2589" i="1"/>
  <c r="A5756" i="1"/>
  <c r="A6901" i="1"/>
  <c r="A6632" i="1"/>
  <c r="A6061" i="1"/>
  <c r="A6863" i="1"/>
  <c r="A4858" i="1"/>
  <c r="A2862" i="1"/>
  <c r="A4227" i="1"/>
  <c r="A3658" i="1"/>
  <c r="A2988" i="1"/>
  <c r="A8300" i="1"/>
  <c r="A8299" i="1"/>
  <c r="A5821" i="1"/>
  <c r="A2257" i="1"/>
  <c r="A4932" i="1"/>
  <c r="A2474" i="1"/>
  <c r="A8444" i="1"/>
  <c r="A5398" i="1"/>
  <c r="A7805" i="1"/>
  <c r="A1013" i="1"/>
  <c r="A8023" i="1"/>
  <c r="A5515" i="1"/>
  <c r="A7982" i="1"/>
  <c r="A2341" i="1"/>
  <c r="A7522" i="1"/>
  <c r="A1669" i="1"/>
  <c r="A5661" i="1"/>
  <c r="A7226" i="1"/>
  <c r="A5817" i="1"/>
  <c r="A6646" i="1"/>
  <c r="A6516" i="1"/>
  <c r="A7072" i="1"/>
  <c r="A3741" i="1"/>
  <c r="A2450" i="1"/>
  <c r="A2469" i="1"/>
  <c r="A6264" i="1"/>
  <c r="A6331" i="1"/>
  <c r="A4487" i="1"/>
  <c r="A896" i="1"/>
  <c r="A499" i="1"/>
  <c r="A1668" i="1"/>
  <c r="A5810" i="1"/>
  <c r="A7804" i="1"/>
  <c r="A6505" i="1"/>
  <c r="A6263" i="1"/>
  <c r="A5675" i="1"/>
  <c r="A895" i="1"/>
  <c r="A4419" i="1"/>
  <c r="A4352" i="1"/>
  <c r="A3839" i="1"/>
  <c r="A5346" i="1"/>
  <c r="A7863" i="1"/>
  <c r="A3500" i="1"/>
  <c r="A1576" i="1"/>
  <c r="A3162" i="1"/>
  <c r="A6476" i="1"/>
  <c r="A2960" i="1"/>
  <c r="A2753" i="1"/>
  <c r="A3737" i="1"/>
  <c r="A2553" i="1"/>
  <c r="A2383" i="1"/>
  <c r="A2320" i="1"/>
  <c r="A1937" i="1"/>
  <c r="A5471" i="1"/>
  <c r="A4438" i="1"/>
  <c r="A6922" i="1"/>
  <c r="A1256" i="1"/>
  <c r="A945" i="1"/>
  <c r="A894" i="1"/>
  <c r="A4647" i="1"/>
  <c r="A824" i="1"/>
  <c r="A775" i="1"/>
  <c r="A774" i="1"/>
  <c r="A715" i="1"/>
  <c r="A474" i="1"/>
  <c r="A637" i="1"/>
  <c r="A6992" i="1"/>
  <c r="A8478" i="1"/>
  <c r="A2045" i="1"/>
  <c r="A2541" i="1"/>
  <c r="A4993" i="1"/>
  <c r="A6736" i="1"/>
  <c r="A6940" i="1"/>
  <c r="A1862" i="1"/>
  <c r="A7568" i="1"/>
  <c r="A2147" i="1"/>
  <c r="A8208" i="1"/>
  <c r="A8022" i="1"/>
  <c r="A3700" i="1"/>
  <c r="A7437" i="1"/>
  <c r="A7436" i="1"/>
  <c r="A2610" i="1"/>
  <c r="A8439" i="1"/>
  <c r="A7958" i="1"/>
  <c r="A7667" i="1"/>
  <c r="A8021" i="1"/>
  <c r="A7642" i="1"/>
  <c r="A6438" i="1"/>
  <c r="A930" i="1"/>
  <c r="A7777" i="1"/>
  <c r="A7220" i="1"/>
  <c r="A7198" i="1"/>
  <c r="A5674" i="1"/>
  <c r="A4505" i="1"/>
  <c r="A7071" i="1"/>
  <c r="A5514" i="1"/>
  <c r="A6950" i="1"/>
  <c r="A6873" i="1"/>
  <c r="A5513" i="1"/>
  <c r="A3315" i="1"/>
  <c r="A3683" i="1"/>
  <c r="A4906" i="1"/>
  <c r="A6554" i="1"/>
  <c r="A6553" i="1"/>
  <c r="A7070" i="1"/>
  <c r="A2839" i="1"/>
  <c r="A3841" i="1"/>
  <c r="A7641" i="1"/>
  <c r="A4427" i="1"/>
  <c r="A5811" i="1"/>
  <c r="A1951" i="1"/>
  <c r="A5957" i="1"/>
  <c r="A4426" i="1"/>
  <c r="A1700" i="1"/>
  <c r="A1699" i="1"/>
  <c r="A1698" i="1"/>
  <c r="A1697" i="1"/>
  <c r="A5738" i="1"/>
  <c r="A5682" i="1"/>
  <c r="A5807" i="1"/>
  <c r="A7803" i="1"/>
  <c r="A615" i="1"/>
  <c r="A5401" i="1"/>
  <c r="A8102" i="1"/>
  <c r="A5336" i="1"/>
  <c r="A5335" i="1"/>
  <c r="A5334" i="1"/>
  <c r="A4751" i="1"/>
  <c r="A5321" i="1"/>
  <c r="A5320" i="1"/>
  <c r="A4992" i="1"/>
  <c r="A4922" i="1"/>
  <c r="A4891" i="1"/>
  <c r="A6988" i="1"/>
  <c r="A4638" i="1"/>
  <c r="A2565" i="1"/>
  <c r="A6341" i="1"/>
  <c r="A5478" i="1"/>
  <c r="A4564" i="1"/>
  <c r="A4524" i="1"/>
  <c r="A4489" i="1"/>
  <c r="A3302" i="1"/>
  <c r="A6949" i="1"/>
  <c r="A868" i="1"/>
  <c r="A4155" i="1"/>
  <c r="A3759" i="1"/>
  <c r="A3843" i="1"/>
  <c r="A4120" i="1"/>
  <c r="A3608" i="1"/>
  <c r="A3522" i="1"/>
  <c r="A3233" i="1"/>
  <c r="A6050" i="1"/>
  <c r="A3190" i="1"/>
  <c r="A3018" i="1"/>
  <c r="A7912" i="1"/>
  <c r="A2967" i="1"/>
  <c r="A2256" i="1"/>
  <c r="A7969" i="1"/>
  <c r="A2910" i="1"/>
  <c r="A2909" i="1"/>
  <c r="A2908" i="1"/>
  <c r="A2907" i="1"/>
  <c r="A2906" i="1"/>
  <c r="A2970" i="1"/>
  <c r="A2846" i="1"/>
  <c r="A2845" i="1"/>
  <c r="A6537" i="1"/>
  <c r="A2460" i="1"/>
  <c r="A5432" i="1"/>
  <c r="A893" i="1"/>
  <c r="A2261" i="1"/>
  <c r="A2020" i="1"/>
  <c r="A5555" i="1"/>
  <c r="A5554" i="1"/>
  <c r="A2369" i="1"/>
  <c r="A2705" i="1"/>
  <c r="A8205" i="1"/>
  <c r="A8204" i="1"/>
  <c r="A2542" i="1"/>
  <c r="A2449" i="1"/>
  <c r="A2444" i="1"/>
  <c r="A6948" i="1"/>
  <c r="A2146" i="1"/>
  <c r="A2145" i="1"/>
  <c r="A2144" i="1"/>
  <c r="A4667" i="1"/>
  <c r="A2062" i="1"/>
  <c r="A7435" i="1"/>
  <c r="A5427" i="1"/>
  <c r="A6060" i="1"/>
  <c r="A1028" i="1"/>
  <c r="A1892" i="1"/>
  <c r="A3611" i="1"/>
  <c r="A1847" i="1"/>
  <c r="A7141" i="1"/>
  <c r="A6930" i="1"/>
  <c r="A1345" i="1"/>
  <c r="A5327" i="1"/>
  <c r="A5512" i="1"/>
  <c r="A7802" i="1"/>
  <c r="A5397" i="1"/>
  <c r="A892" i="1"/>
  <c r="A891" i="1"/>
  <c r="A890" i="1"/>
  <c r="A889" i="1"/>
  <c r="A888" i="1"/>
  <c r="A887" i="1"/>
  <c r="A886" i="1"/>
  <c r="A885" i="1"/>
  <c r="A884" i="1"/>
  <c r="A883" i="1"/>
  <c r="A115" i="1"/>
  <c r="A3312" i="1"/>
  <c r="A733" i="1"/>
  <c r="A5396" i="1"/>
  <c r="A514" i="1"/>
  <c r="A7015" i="1"/>
  <c r="A289" i="1"/>
  <c r="A2877" i="1"/>
  <c r="A4901" i="1"/>
  <c r="A137" i="1"/>
  <c r="A96" i="1"/>
  <c r="A8570" i="1"/>
  <c r="A3873" i="1"/>
  <c r="A8507" i="1"/>
  <c r="A3981" i="1"/>
  <c r="A3301" i="1"/>
  <c r="A4261" i="1"/>
  <c r="A7337" i="1"/>
  <c r="A6683" i="1"/>
  <c r="A7562" i="1"/>
  <c r="A7561" i="1"/>
  <c r="A8235" i="1"/>
  <c r="A8234" i="1"/>
  <c r="A8233" i="1"/>
  <c r="A4991" i="1"/>
  <c r="A8143" i="1"/>
  <c r="A8125" i="1"/>
  <c r="A1373" i="1"/>
  <c r="A5442" i="1"/>
  <c r="A8006" i="1"/>
  <c r="A7976" i="1"/>
  <c r="A7917" i="1"/>
  <c r="A6682" i="1"/>
  <c r="A6681" i="1"/>
  <c r="A7829" i="1"/>
  <c r="A5405" i="1"/>
  <c r="A7295" i="1"/>
  <c r="A7717" i="1"/>
  <c r="A7648" i="1"/>
  <c r="A2457" i="1"/>
  <c r="A4990" i="1"/>
  <c r="A7557" i="1"/>
  <c r="A6680" i="1"/>
  <c r="A5469" i="1"/>
  <c r="A7354" i="1"/>
  <c r="A5370" i="1"/>
  <c r="A7320" i="1"/>
  <c r="A3575" i="1"/>
  <c r="A7872" i="1"/>
  <c r="A4925" i="1"/>
  <c r="A3298" i="1"/>
  <c r="A6742" i="1"/>
  <c r="A4989" i="1"/>
  <c r="A8373" i="1"/>
  <c r="A4809" i="1"/>
  <c r="A3067" i="1"/>
  <c r="A7075" i="1"/>
  <c r="A5626" i="1"/>
  <c r="A4804" i="1"/>
  <c r="A7035" i="1"/>
  <c r="A7750" i="1"/>
  <c r="A6740" i="1"/>
  <c r="A6864" i="1"/>
  <c r="A4934" i="1"/>
  <c r="A6679" i="1"/>
  <c r="A6754" i="1"/>
  <c r="A2683" i="1"/>
  <c r="A6708" i="1"/>
  <c r="A6678" i="1"/>
  <c r="A6590" i="1"/>
  <c r="A6642" i="1"/>
  <c r="A4988" i="1"/>
  <c r="A6541" i="1"/>
  <c r="A6503" i="1"/>
  <c r="A6486" i="1"/>
  <c r="A6447" i="1"/>
  <c r="A6371" i="1"/>
  <c r="A3513" i="1"/>
  <c r="A6335" i="1"/>
  <c r="A6334" i="1"/>
  <c r="A6283" i="1"/>
  <c r="A6219" i="1"/>
  <c r="A6187" i="1"/>
  <c r="A1468" i="1"/>
  <c r="A6290" i="1"/>
  <c r="A6059" i="1"/>
  <c r="A3044" i="1"/>
  <c r="A131" i="1"/>
  <c r="A8359" i="1"/>
  <c r="A4651" i="1"/>
  <c r="A7523" i="1"/>
  <c r="A3498" i="1"/>
  <c r="A5787" i="1"/>
  <c r="A5625" i="1"/>
  <c r="A5624" i="1"/>
  <c r="A5623" i="1"/>
  <c r="A6532" i="1"/>
  <c r="A5461" i="1"/>
  <c r="A3145" i="1"/>
  <c r="A5424" i="1"/>
  <c r="A5434" i="1"/>
  <c r="A7693" i="1"/>
  <c r="A5588" i="1"/>
  <c r="A5737" i="1"/>
  <c r="A2580" i="1"/>
  <c r="A8080" i="1"/>
  <c r="A4987" i="1"/>
  <c r="A4986" i="1"/>
  <c r="A4905" i="1"/>
  <c r="A3521" i="1"/>
  <c r="A8135" i="1"/>
  <c r="A5359" i="1"/>
  <c r="A643" i="1"/>
  <c r="A4650" i="1"/>
  <c r="A6021" i="1"/>
  <c r="A4571" i="1"/>
  <c r="A4448" i="1"/>
  <c r="A4439" i="1"/>
  <c r="A3138" i="1"/>
  <c r="A7353" i="1"/>
  <c r="A4312" i="1"/>
  <c r="A2656" i="1"/>
  <c r="A3043" i="1"/>
  <c r="A810" i="1"/>
  <c r="A6803" i="1"/>
  <c r="A4240" i="1"/>
  <c r="A6802" i="1"/>
  <c r="A6461" i="1"/>
  <c r="A949" i="1"/>
  <c r="A4088" i="1"/>
  <c r="A4061" i="1"/>
  <c r="A3872" i="1"/>
  <c r="A3871" i="1"/>
  <c r="A3870" i="1"/>
  <c r="A3777" i="1"/>
  <c r="A4818" i="1"/>
  <c r="A5489" i="1"/>
  <c r="A3689" i="1"/>
  <c r="A3707" i="1"/>
  <c r="A3869" i="1"/>
  <c r="A3868" i="1"/>
  <c r="A3657" i="1"/>
  <c r="A7173" i="1"/>
  <c r="A3556" i="1"/>
  <c r="A5969" i="1"/>
  <c r="A3520" i="1"/>
  <c r="A3501" i="1"/>
  <c r="A4060" i="1"/>
  <c r="A3519" i="1"/>
  <c r="A3518" i="1"/>
  <c r="A3389" i="1"/>
  <c r="A3245" i="1"/>
  <c r="A7796" i="1"/>
  <c r="A2800" i="1"/>
  <c r="A2174" i="1"/>
  <c r="A7716" i="1"/>
  <c r="A4726" i="1"/>
  <c r="A3688" i="1"/>
  <c r="A1627" i="1"/>
  <c r="A2751" i="1"/>
  <c r="A6518" i="1"/>
  <c r="A1815" i="1"/>
  <c r="A5994" i="1"/>
  <c r="A2629" i="1"/>
  <c r="A7121" i="1"/>
  <c r="A2597" i="1"/>
  <c r="A2596" i="1"/>
  <c r="A3483" i="1"/>
  <c r="A2086" i="1"/>
  <c r="A2570" i="1"/>
  <c r="A1475" i="1"/>
  <c r="A6968" i="1"/>
  <c r="A1084" i="1"/>
  <c r="A8463" i="1"/>
  <c r="A4985" i="1"/>
  <c r="A2390" i="1"/>
  <c r="A5926" i="1"/>
  <c r="A7056" i="1"/>
  <c r="A2484" i="1"/>
  <c r="A8462" i="1"/>
  <c r="A2196" i="1"/>
  <c r="A2195" i="1"/>
  <c r="A4984" i="1"/>
  <c r="A3867" i="1"/>
  <c r="A2129" i="1"/>
  <c r="A7916" i="1"/>
  <c r="A3432" i="1"/>
  <c r="A2073" i="1"/>
  <c r="A2052" i="1"/>
  <c r="A1931" i="1"/>
  <c r="A2665" i="1"/>
  <c r="A3866" i="1"/>
  <c r="A1063" i="1"/>
  <c r="A1824" i="1"/>
  <c r="A1705" i="1"/>
  <c r="A1701" i="1"/>
  <c r="A6355" i="1"/>
  <c r="A1967" i="1"/>
  <c r="A1638" i="1"/>
  <c r="A1605" i="1"/>
  <c r="A3099" i="1"/>
  <c r="A3197" i="1"/>
  <c r="A7692" i="1"/>
  <c r="A1372" i="1"/>
  <c r="A1371" i="1"/>
  <c r="A4933" i="1"/>
  <c r="A2595" i="1"/>
  <c r="A5480" i="1"/>
  <c r="A1155" i="1"/>
  <c r="A1269" i="1"/>
  <c r="A1268" i="1"/>
  <c r="A1255" i="1"/>
  <c r="A680" i="1"/>
  <c r="A1178" i="1"/>
  <c r="A948" i="1"/>
  <c r="A2226" i="1"/>
  <c r="A832" i="1"/>
  <c r="A6908" i="1"/>
  <c r="A7253" i="1"/>
  <c r="A3555" i="1"/>
  <c r="A2805" i="1"/>
  <c r="A557" i="1"/>
  <c r="A556" i="1"/>
  <c r="A555" i="1"/>
  <c r="A554" i="1"/>
  <c r="A553" i="1"/>
  <c r="A552" i="1"/>
  <c r="A5423" i="1"/>
  <c r="A3244" i="1"/>
  <c r="A417" i="1"/>
  <c r="A437" i="1"/>
  <c r="A436" i="1"/>
  <c r="A435" i="1"/>
  <c r="A434" i="1"/>
  <c r="A396" i="1"/>
  <c r="A370" i="1"/>
  <c r="A7534" i="1"/>
  <c r="A188" i="1"/>
  <c r="A187" i="1"/>
  <c r="A186" i="1"/>
  <c r="A144" i="1"/>
  <c r="A4983" i="1"/>
  <c r="A123" i="1"/>
  <c r="A7897" i="1"/>
  <c r="A14" i="1"/>
  <c r="A7995" i="1"/>
  <c r="A7715" i="1"/>
  <c r="A7202" i="1"/>
  <c r="A1817" i="1"/>
  <c r="A7001" i="1"/>
  <c r="A6947" i="1"/>
  <c r="A5648" i="1"/>
  <c r="A6661" i="1"/>
  <c r="A8482" i="1"/>
  <c r="A6177" i="1"/>
  <c r="A7036" i="1"/>
  <c r="A7997" i="1"/>
  <c r="A3290" i="1"/>
  <c r="A3423" i="1"/>
  <c r="A1225" i="1"/>
  <c r="A2905" i="1"/>
  <c r="A2818" i="1"/>
  <c r="A6946" i="1"/>
  <c r="A2356" i="1"/>
  <c r="A2660" i="1"/>
  <c r="A2382" i="1"/>
  <c r="A2381" i="1"/>
  <c r="A2297" i="1"/>
  <c r="A8020" i="1"/>
  <c r="A4666" i="1"/>
  <c r="A1950" i="1"/>
  <c r="A7498" i="1"/>
  <c r="A4057" i="1"/>
  <c r="A882" i="1"/>
  <c r="A773" i="1"/>
  <c r="A4575" i="1"/>
  <c r="A881" i="1"/>
  <c r="A2949" i="1"/>
  <c r="A5796" i="1"/>
  <c r="A2389" i="1"/>
  <c r="A6517" i="1"/>
  <c r="A4929" i="1"/>
  <c r="A4544" i="1"/>
  <c r="A8019" i="1"/>
  <c r="A8018" i="1"/>
  <c r="A3699" i="1"/>
  <c r="A7968" i="1"/>
  <c r="A7967" i="1"/>
  <c r="A7898" i="1"/>
  <c r="A7723" i="1"/>
  <c r="A8438" i="1"/>
  <c r="A7640" i="1"/>
  <c r="A7639" i="1"/>
  <c r="A7643" i="1"/>
  <c r="A7268" i="1"/>
  <c r="A1490" i="1"/>
  <c r="A7638" i="1"/>
  <c r="A2473" i="1"/>
  <c r="A3314" i="1"/>
  <c r="A7749" i="1"/>
  <c r="A6645" i="1"/>
  <c r="A4921" i="1"/>
  <c r="A6473" i="1"/>
  <c r="A6258" i="1"/>
  <c r="A2342" i="1"/>
  <c r="A1665" i="1"/>
  <c r="A5511" i="1"/>
  <c r="A1593" i="1"/>
  <c r="A456" i="1"/>
  <c r="A5379" i="1"/>
  <c r="A5333" i="1"/>
  <c r="A4857" i="1"/>
  <c r="A4659" i="1"/>
  <c r="A4084" i="1"/>
  <c r="A1603" i="1"/>
  <c r="A3682" i="1"/>
  <c r="A4850" i="1"/>
  <c r="A3752" i="1"/>
  <c r="A5647" i="1"/>
  <c r="A3638" i="1"/>
  <c r="A3421" i="1"/>
  <c r="A3368" i="1"/>
  <c r="A3297" i="1"/>
  <c r="A2958" i="1"/>
  <c r="A2948" i="1"/>
  <c r="A2904" i="1"/>
  <c r="A2903" i="1"/>
  <c r="A2902" i="1"/>
  <c r="A2901" i="1"/>
  <c r="A5430" i="1"/>
  <c r="A2886" i="1"/>
  <c r="A6600" i="1"/>
  <c r="A5952" i="1"/>
  <c r="A7326" i="1"/>
  <c r="A2117" i="1"/>
  <c r="A880" i="1"/>
  <c r="A4673" i="1"/>
  <c r="A2304" i="1"/>
  <c r="A2183" i="1"/>
  <c r="A7520" i="1"/>
  <c r="A7190" i="1"/>
  <c r="A2467" i="1"/>
  <c r="A5618" i="1"/>
  <c r="A738" i="1"/>
  <c r="A26" i="1"/>
  <c r="A7699" i="1"/>
  <c r="A879" i="1"/>
  <c r="A732" i="1"/>
  <c r="A7549" i="1"/>
  <c r="A7178" i="1"/>
  <c r="A688" i="1"/>
  <c r="A6310" i="1"/>
  <c r="A3204" i="1"/>
  <c r="A8292" i="1"/>
  <c r="A4982" i="1"/>
  <c r="A4981" i="1"/>
  <c r="A159" i="1"/>
  <c r="A2352" i="1"/>
  <c r="A2111" i="1"/>
  <c r="A6834" i="1"/>
  <c r="A185" i="1"/>
  <c r="A3701" i="1"/>
  <c r="A24" i="1"/>
  <c r="A5646" i="1"/>
  <c r="A8505" i="1"/>
  <c r="A5690" i="1"/>
  <c r="A4980" i="1"/>
  <c r="A8276" i="1"/>
  <c r="A4900" i="1"/>
  <c r="A7903" i="1"/>
  <c r="A7794" i="1"/>
  <c r="A7234" i="1"/>
  <c r="A3865" i="1"/>
  <c r="A8293" i="1"/>
  <c r="A6446" i="1"/>
  <c r="A7189" i="1"/>
  <c r="A4924" i="1"/>
  <c r="A7996" i="1"/>
  <c r="A7057" i="1"/>
  <c r="A6058" i="1"/>
  <c r="A5464" i="1"/>
  <c r="A7515" i="1"/>
  <c r="A4979" i="1"/>
  <c r="A7714" i="1"/>
  <c r="A6057" i="1"/>
  <c r="A3517" i="1"/>
  <c r="A3516" i="1"/>
  <c r="A2969" i="1"/>
  <c r="A8546" i="1"/>
  <c r="A6677" i="1"/>
  <c r="A4225" i="1"/>
  <c r="A2680" i="1"/>
  <c r="A2619" i="1"/>
  <c r="A2380" i="1"/>
  <c r="A2050" i="1"/>
  <c r="A6676" i="1"/>
  <c r="A8545" i="1"/>
  <c r="A772" i="1"/>
  <c r="A433" i="1"/>
  <c r="A184" i="1"/>
  <c r="A164" i="1"/>
  <c r="A8370" i="1"/>
  <c r="A8557" i="1"/>
  <c r="A8556" i="1"/>
  <c r="A6262" i="1"/>
  <c r="A4685" i="1"/>
  <c r="A153" i="1"/>
  <c r="A7913" i="1"/>
  <c r="A6488" i="1"/>
  <c r="A7569" i="1"/>
  <c r="A7460" i="1"/>
  <c r="A4" i="1"/>
  <c r="A6041" i="1"/>
  <c r="A6979" i="1"/>
  <c r="A6945" i="1"/>
  <c r="A5991" i="1"/>
  <c r="A6872" i="1"/>
  <c r="A4569" i="1"/>
  <c r="A1212" i="1"/>
  <c r="A6504" i="1"/>
  <c r="A6303" i="1"/>
  <c r="A8481" i="1"/>
  <c r="A6351" i="1"/>
  <c r="A6281" i="1"/>
  <c r="A6205" i="1"/>
  <c r="A5510" i="1"/>
  <c r="A5673" i="1"/>
  <c r="A5544" i="1"/>
  <c r="A5378" i="1"/>
  <c r="A4856" i="1"/>
  <c r="A6652" i="1"/>
  <c r="A4425" i="1"/>
  <c r="A306" i="1"/>
  <c r="A5615" i="1"/>
  <c r="A4117" i="1"/>
  <c r="A3758" i="1"/>
  <c r="A7801" i="1"/>
  <c r="A3194" i="1"/>
  <c r="A105" i="1"/>
  <c r="A2900" i="1"/>
  <c r="A5395" i="1"/>
  <c r="A7700" i="1"/>
  <c r="A6035" i="1"/>
  <c r="A2658" i="1"/>
  <c r="A2459" i="1"/>
  <c r="A2379" i="1"/>
  <c r="A2194" i="1"/>
  <c r="A2193" i="1"/>
  <c r="A2260" i="1"/>
  <c r="A2143" i="1"/>
  <c r="A8399" i="1"/>
  <c r="A5350" i="1"/>
  <c r="A1667" i="1"/>
  <c r="A7586" i="1"/>
  <c r="A1623" i="1"/>
  <c r="A1503" i="1"/>
  <c r="A878" i="1"/>
  <c r="A877" i="1"/>
  <c r="A876" i="1"/>
  <c r="A875" i="1"/>
  <c r="A874" i="1"/>
  <c r="A873" i="1"/>
  <c r="A872" i="1"/>
  <c r="A862" i="1"/>
  <c r="A731" i="1"/>
  <c r="A730" i="1"/>
  <c r="A636" i="1"/>
  <c r="A7800" i="1"/>
  <c r="A3098" i="1"/>
  <c r="A3980" i="1"/>
  <c r="A3979" i="1"/>
  <c r="A3978" i="1"/>
  <c r="A3977" i="1"/>
  <c r="A2824" i="1"/>
  <c r="A7915" i="1"/>
  <c r="A6333" i="1"/>
  <c r="A4276" i="1"/>
  <c r="A1984" i="1"/>
  <c r="A3847" i="1"/>
  <c r="A7547" i="1"/>
  <c r="A6875" i="1"/>
  <c r="A4978" i="1"/>
  <c r="A1045" i="1"/>
  <c r="A6457" i="1"/>
  <c r="A7791" i="1"/>
  <c r="A6056" i="1"/>
  <c r="A5375" i="1"/>
  <c r="A6055" i="1"/>
  <c r="A3656" i="1"/>
  <c r="A3794" i="1"/>
  <c r="A3346" i="1"/>
  <c r="A5873" i="1"/>
  <c r="A4977" i="1"/>
  <c r="A947" i="1"/>
  <c r="A2293" i="1"/>
  <c r="A8429" i="1"/>
  <c r="A8131" i="1"/>
  <c r="A8437" i="1"/>
  <c r="A6559" i="1"/>
  <c r="A7942" i="1"/>
  <c r="A7186" i="1"/>
  <c r="A5672" i="1"/>
  <c r="A7456" i="1"/>
  <c r="A4376" i="1"/>
  <c r="A5349" i="1"/>
  <c r="A6257" i="1"/>
  <c r="A5622" i="1"/>
  <c r="A4963" i="1"/>
  <c r="A6944" i="1"/>
  <c r="A7960" i="1"/>
  <c r="A7519" i="1"/>
  <c r="A4424" i="1"/>
  <c r="A2472" i="1"/>
  <c r="A3637" i="1"/>
  <c r="A1044" i="1"/>
  <c r="A871" i="1"/>
  <c r="A606" i="1"/>
  <c r="A3" i="1"/>
  <c r="A5377" i="1"/>
  <c r="A768" i="1"/>
  <c r="A3017" i="1"/>
  <c r="A771" i="1"/>
  <c r="A4976" i="1"/>
  <c r="A286" i="1"/>
  <c r="A4975" i="1"/>
  <c r="A5842" i="1"/>
  <c r="A4974" i="1"/>
  <c r="A3097" i="1"/>
  <c r="A8499" i="1"/>
  <c r="A7711" i="1"/>
  <c r="A4415" i="1"/>
  <c r="A3826" i="1"/>
  <c r="A7501" i="1"/>
  <c r="A7069" i="1"/>
  <c r="A6943" i="1"/>
  <c r="A5793" i="1"/>
  <c r="A870" i="1"/>
  <c r="A4691" i="1"/>
  <c r="A8460" i="1"/>
  <c r="A7713" i="1"/>
  <c r="A4973" i="1"/>
  <c r="A4972" i="1"/>
  <c r="A4971" i="1"/>
  <c r="A5732" i="1"/>
  <c r="A2292" i="1"/>
  <c r="A770" i="1"/>
  <c r="A769" i="1"/>
  <c r="A4970" i="1"/>
  <c r="A2051" i="1"/>
  <c r="A4969" i="1"/>
  <c r="A2340" i="1"/>
  <c r="A804" i="1"/>
  <c r="A3674" i="1"/>
  <c r="A4968" i="1"/>
  <c r="A6456" i="1"/>
  <c r="A2114" i="1"/>
  <c r="A4967" i="1"/>
  <c r="A808" i="1"/>
  <c r="A305" i="1"/>
  <c r="A3300" i="1"/>
</calcChain>
</file>

<file path=xl/sharedStrings.xml><?xml version="1.0" encoding="utf-8"?>
<sst xmlns="http://schemas.openxmlformats.org/spreadsheetml/2006/main" count="25762" uniqueCount="8987">
  <si>
    <t>Name</t>
  </si>
  <si>
    <t>Vendor</t>
  </si>
  <si>
    <t>Status</t>
  </si>
  <si>
    <t>Decision Date/Date Requested</t>
  </si>
  <si>
    <t>GrapeCity, Inc.</t>
  </si>
  <si>
    <t>Analysis Completed</t>
  </si>
  <si>
    <t>07/07/2021 at 15:35:22 UTC</t>
  </si>
  <si>
    <t>AForge.NET</t>
  </si>
  <si>
    <t>08/29/2024 at 15:54:58 UTC</t>
  </si>
  <si>
    <t>ATLAS.ti Scientific Software Development GmbH</t>
  </si>
  <si>
    <t>12/13/2024 at 19:36:17 UTC</t>
  </si>
  <si>
    <t>Microsoft</t>
  </si>
  <si>
    <t>06/07/2024 at 18:37:46 UTC</t>
  </si>
  <si>
    <t>DART</t>
  </si>
  <si>
    <t>10/03/2022 at 19:03:59 UTC</t>
  </si>
  <si>
    <t>Pivotal</t>
  </si>
  <si>
    <t>10/13/2023 at 18:32:42 UTC</t>
  </si>
  <si>
    <t>12/11/2023 at 20:10:30 UTC</t>
  </si>
  <si>
    <t>IceWarp, Inc.</t>
  </si>
  <si>
    <t>08/30/2024 at 16:19:28 UTC</t>
  </si>
  <si>
    <t>Atirix Medical Systems, Inc.</t>
  </si>
  <si>
    <t>10/14/2024 at 01:23:25 UTC</t>
  </si>
  <si>
    <t>digital.ai</t>
  </si>
  <si>
    <t>06/21/2024 at 22:00:39 UTC</t>
  </si>
  <si>
    <t>11/19/2024 at 12:23:24 UTC</t>
  </si>
  <si>
    <t>CruiseControl development team</t>
  </si>
  <si>
    <t>09/16/2022 at 19:27:24 UTC</t>
  </si>
  <si>
    <t>11/26/2024 at 15:08:05 UTC</t>
  </si>
  <si>
    <t>Aspose</t>
  </si>
  <si>
    <t>11/01/2022 at 02:20:58 UTC</t>
  </si>
  <si>
    <t>11/01/2022 at 02:20:57 UTC</t>
  </si>
  <si>
    <t>DevExpress</t>
  </si>
  <si>
    <t>10/18/2022 at 16:18:07 UTC</t>
  </si>
  <si>
    <t>Newtonsoft</t>
  </si>
  <si>
    <t>11/30/2022 at 19:34:53 UTC</t>
  </si>
  <si>
    <t>12/13/2024 at 19:36:23 UTC</t>
  </si>
  <si>
    <t>11/29/2024 at 17:31:33 UTC</t>
  </si>
  <si>
    <t>07/29/2024 at 14:48:46 UTC</t>
  </si>
  <si>
    <t>Telerik</t>
  </si>
  <si>
    <t>03/31/2023 at 19:03:15 UTC</t>
  </si>
  <si>
    <t>Xceed</t>
  </si>
  <si>
    <t>09/25/2024 at 01:50:21 UTC</t>
  </si>
  <si>
    <t>Mandarin Library Automation, Inc.</t>
  </si>
  <si>
    <t>03/01/2024 at 00:55:46 UTC</t>
  </si>
  <si>
    <t>Autodesk, Inc.</t>
  </si>
  <si>
    <t>01/25/2024 at 01:34:34 UTC</t>
  </si>
  <si>
    <t>Node.js Foundation</t>
  </si>
  <si>
    <t>12/19/2024 at 22:32:12 UTC</t>
  </si>
  <si>
    <t>Rocket Software Inc.</t>
  </si>
  <si>
    <t>11/25/2024 at 18:01:50 UTC</t>
  </si>
  <si>
    <t>Sapien Technologies Inc.</t>
  </si>
  <si>
    <t>04/01/2024 at 02:11:15 UTC</t>
  </si>
  <si>
    <t>Stamps.com</t>
  </si>
  <si>
    <t>05/14/2024 at 21:56:38 UTC</t>
  </si>
  <si>
    <t>Integrated Data Management Systems, Inc.</t>
  </si>
  <si>
    <t>11/15/2024 at 21:35:15 UTC</t>
  </si>
  <si>
    <t>Knowledge Based Systems, Inc.</t>
  </si>
  <si>
    <t>11/01/2022 at 18:56:55 UTC</t>
  </si>
  <si>
    <t>TeleMate.Net Software</t>
  </si>
  <si>
    <t>12/19/2024 at 15:06:53 UTC</t>
  </si>
  <si>
    <t>YAF.NET</t>
  </si>
  <si>
    <t>03/20/2024 at 02:23:26 UTC</t>
  </si>
  <si>
    <t>gatsby.js</t>
  </si>
  <si>
    <t>11/02/2022 at 04:10:26 UTC</t>
  </si>
  <si>
    <t>05/09/2024 at 19:08:22 UTC</t>
  </si>
  <si>
    <t>NuGet</t>
  </si>
  <si>
    <t>12/07/2022 at 20:44:55 UTC</t>
  </si>
  <si>
    <t>11/27/2024 at 00:44:25 UTC</t>
  </si>
  <si>
    <t>Advanced Mechanical Technology, Inc. (AMTI)</t>
  </si>
  <si>
    <t>09/16/2024 at 14:58:57 UTC</t>
  </si>
  <si>
    <t>12/10/2024 at 18:07:37 UTC</t>
  </si>
  <si>
    <t>11/01/2022 at 02:20:56 UTC</t>
  </si>
  <si>
    <t>Framon Manufacturing Company, Inc.</t>
  </si>
  <si>
    <t>04/22/2024 at 17:37:30 UTC</t>
  </si>
  <si>
    <t>ASP.NET</t>
  </si>
  <si>
    <t>08/26/2024 at 15:09:17 UTC</t>
  </si>
  <si>
    <t>MongoDB Inc.</t>
  </si>
  <si>
    <t>09/18/2023 at 14:59:39 UTC</t>
  </si>
  <si>
    <t>.decimal, LLC</t>
  </si>
  <si>
    <t>11/25/2024 at 18:01:56 UTC</t>
  </si>
  <si>
    <t>Apache.org</t>
  </si>
  <si>
    <t>09/10/2024 at 15:45:59 UTC</t>
  </si>
  <si>
    <t>11/08/2024 at 02:03:16 UTC</t>
  </si>
  <si>
    <t>B. Braun Medical Inc.</t>
  </si>
  <si>
    <t>08/28/2024 at 17:43:04 UTC</t>
  </si>
  <si>
    <t>Hunch.ly</t>
  </si>
  <si>
    <t>04/30/2024 at 17:14:30 UTC</t>
  </si>
  <si>
    <t>Draeger Medical Inc.</t>
  </si>
  <si>
    <t>11/06/2024 at 02:07:50 UTC</t>
  </si>
  <si>
    <t>Kofax Inc.</t>
  </si>
  <si>
    <t>11/04/2022 at 01:37:20 UTC</t>
  </si>
  <si>
    <t>Statistical Innovations Inc.</t>
  </si>
  <si>
    <t>04/01/2024 at 02:11:14 UTC</t>
  </si>
  <si>
    <t>Trivantis Corporation Inc.</t>
  </si>
  <si>
    <t>02/28/2024 at 16:07:27 UTC</t>
  </si>
  <si>
    <t>03/18/2024 at 23:44:53 UTC</t>
  </si>
  <si>
    <t>Microchip Technologies, Inc.</t>
  </si>
  <si>
    <t>08/12/2024 at 15:25:17 UTC</t>
  </si>
  <si>
    <t>Netaphor Software, Inc.</t>
  </si>
  <si>
    <t>12/11/2023 at 20:10:31 UTC</t>
  </si>
  <si>
    <t>PAR Excellence Systems, Inc.</t>
  </si>
  <si>
    <t>10/10/2023 at 18:35:02 UTC</t>
  </si>
  <si>
    <t>MIT (Mass. Inst. Tech.)</t>
  </si>
  <si>
    <t>10/14/2024 at 01:23:32 UTC</t>
  </si>
  <si>
    <t>Keyoti Inc.</t>
  </si>
  <si>
    <t>06/13/2024 at 16:57:16 UTC</t>
  </si>
  <si>
    <t>Sphera Solutions, Inc.</t>
  </si>
  <si>
    <t>07/19/2024 at 16:33:51 UTC</t>
  </si>
  <si>
    <t>Network Executive Software, Inc. (NetEx)</t>
  </si>
  <si>
    <t>04/24/2024 at 18:28:31 UTC</t>
  </si>
  <si>
    <t>Selenium.org</t>
  </si>
  <si>
    <t>12/10/2024 at 18:06:44 UTC</t>
  </si>
  <si>
    <t>Trillium Technology, Inc.</t>
  </si>
  <si>
    <t>09/21/2022 at 02:03:54 UTC</t>
  </si>
  <si>
    <t>Productivity-Quality Systems, Inc.</t>
  </si>
  <si>
    <t>09/26/2022 at 02:04:15 UTC</t>
  </si>
  <si>
    <t>Wolters Kluwer Financial Services, Inc.</t>
  </si>
  <si>
    <t>06/21/2024 at 22:00:48 UTC</t>
  </si>
  <si>
    <t>Ventana Systems, Inc.</t>
  </si>
  <si>
    <t>10/05/2023 at 03:01:02 UTC</t>
  </si>
  <si>
    <t>Wireshark.org</t>
  </si>
  <si>
    <t>09/16/2024 at 14:32:15 UTC</t>
  </si>
  <si>
    <t>08/29/2024 at 15:54:44 UTC</t>
  </si>
  <si>
    <t>Avaya</t>
  </si>
  <si>
    <t>03/27/2023 at 02:34:40 UTC</t>
  </si>
  <si>
    <t>12/10/2022 at 01:14:33 UTC</t>
  </si>
  <si>
    <t>OASIS</t>
  </si>
  <si>
    <t>11/29/2024 at 20:47:24 UTC</t>
  </si>
  <si>
    <t>Haivision</t>
  </si>
  <si>
    <t>07/30/2024 at 16:02:07 UTC</t>
  </si>
  <si>
    <t>Infragistics</t>
  </si>
  <si>
    <t>03/22/2021 at 21:34:29 UTC</t>
  </si>
  <si>
    <t>IBM</t>
  </si>
  <si>
    <t>05/22/2024 at 16:13:44 UTC</t>
  </si>
  <si>
    <t>Oracle</t>
  </si>
  <si>
    <t>11/08/2024 at 02:03:26 UTC</t>
  </si>
  <si>
    <t>mongoDB</t>
  </si>
  <si>
    <t>11/20/2023 at 13:27:52 UTC</t>
  </si>
  <si>
    <t>08/06/2024 at 18:46:15 UTC</t>
  </si>
  <si>
    <t>The Rexx Language Association</t>
  </si>
  <si>
    <t>01/11/2024 at 17:00:36 UTC</t>
  </si>
  <si>
    <t>12/09/2022 at 19:31:03 UTC</t>
  </si>
  <si>
    <t>06/21/2024 at 02:48:47 UTC</t>
  </si>
  <si>
    <t>12/04/2024 at 16:23:31 UTC</t>
  </si>
  <si>
    <t>Rethinkit</t>
  </si>
  <si>
    <t>12/25/2019 at 07:41:54 UTC</t>
  </si>
  <si>
    <t>Stimulsoft</t>
  </si>
  <si>
    <t>09/21/2022 at 02:03:45 UTC</t>
  </si>
  <si>
    <t>Interacoustics</t>
  </si>
  <si>
    <t>06/25/2024 at 15:27:59 UTC</t>
  </si>
  <si>
    <t>ControlUp Technologies</t>
  </si>
  <si>
    <t>08/29/2024 at 15:54:40 UTC</t>
  </si>
  <si>
    <t>JGraph</t>
  </si>
  <si>
    <t>12/19/2024 at 15:06:47 UTC</t>
  </si>
  <si>
    <t>Pegasystems</t>
  </si>
  <si>
    <t>08/29/2024 at 15:54:59 UTC</t>
  </si>
  <si>
    <t>Trellix</t>
  </si>
  <si>
    <t>09/27/2024 at 15:50:03 UTC</t>
  </si>
  <si>
    <t>Evan You</t>
  </si>
  <si>
    <t>09/14/2022 at 17:29:44 UTC</t>
  </si>
  <si>
    <t>Internet Engineering Task Force (IETF)</t>
  </si>
  <si>
    <t>10/04/2024 at 20:51:00 UTC</t>
  </si>
  <si>
    <t>10/29/2024 at 19:18:18 UTC</t>
  </si>
  <si>
    <t>10/18/2024 at 18:03:56 UTC</t>
  </si>
  <si>
    <t>GE Healthcare</t>
  </si>
  <si>
    <t>12/07/2022 at 20:44:56 UTC</t>
  </si>
  <si>
    <t>Thermo Fisher Scientific Inc.</t>
  </si>
  <si>
    <t>10/29/2024 at 19:18:23 UTC</t>
  </si>
  <si>
    <t>AppDynamics, Inc.</t>
  </si>
  <si>
    <t>06/26/2024 at 16:14:49 UTC</t>
  </si>
  <si>
    <t>Articulate Global, Inc.</t>
  </si>
  <si>
    <t>11/27/2024 at 00:44:24 UTC</t>
  </si>
  <si>
    <t>03/18/2024 at 23:34:32 UTC</t>
  </si>
  <si>
    <t>AudSoft, Inc.</t>
  </si>
  <si>
    <t>05/28/2024 at 19:13:17 UTC</t>
  </si>
  <si>
    <t>11/20/2024 at 14:40:19 UTC</t>
  </si>
  <si>
    <t>01/06/2025 at 02:04:58 UTC</t>
  </si>
  <si>
    <t>11/21/2024 at 23:32:32 UTC</t>
  </si>
  <si>
    <t>10/23/2024 at 01:31:22 UTC</t>
  </si>
  <si>
    <t>10/20/2022 at 15:01:52 UTC</t>
  </si>
  <si>
    <t>07/19/2024 at 02:54:56 UTC</t>
  </si>
  <si>
    <t>09/24/2024 at 16:22:03 UTC</t>
  </si>
  <si>
    <t>Calabrio, Inc.</t>
  </si>
  <si>
    <t>11/07/2024 at 19:09:23 UTC</t>
  </si>
  <si>
    <t>Censis Technologies, Inc.</t>
  </si>
  <si>
    <t>11/29/2024 at 17:31:30 UTC</t>
  </si>
  <si>
    <t>SunView Software Inc.</t>
  </si>
  <si>
    <t>08/28/2024 at 17:43:06 UTC</t>
  </si>
  <si>
    <t>Checkmarx Ltd.</t>
  </si>
  <si>
    <t>11/25/2024 at 18:01:57 UTC</t>
  </si>
  <si>
    <t>10/07/2024 at 22:22:07 UTC</t>
  </si>
  <si>
    <t>WIBU-SYSTEMS USA Inc.</t>
  </si>
  <si>
    <t>11/14/2024 at 22:59:49 UTC</t>
  </si>
  <si>
    <t>Datadog, Inc.</t>
  </si>
  <si>
    <t>09/23/2024 at 17:31:20 UTC</t>
  </si>
  <si>
    <t>Denodo Technologies, Inc.</t>
  </si>
  <si>
    <t>06/03/2024 at 19:06:17 UTC</t>
  </si>
  <si>
    <t>Delinea Inc.</t>
  </si>
  <si>
    <t>06/05/2024 at 16:37:41 UTC</t>
  </si>
  <si>
    <t>09/09/2024 at 16:40:38 UTC</t>
  </si>
  <si>
    <t>Docker, Inc.</t>
  </si>
  <si>
    <t>04/18/2024 at 18:19:35 UTC</t>
  </si>
  <si>
    <t>DotNetNuke Corp.</t>
  </si>
  <si>
    <t>01/06/2025 at 02:04:59 UTC</t>
  </si>
  <si>
    <t>Ekahau, Inc.</t>
  </si>
  <si>
    <t>09/11/2024 at 17:28:15 UTC</t>
  </si>
  <si>
    <t>Operation Technology, Inc.</t>
  </si>
  <si>
    <t>06/05/2024 at 16:37:42 UTC</t>
  </si>
  <si>
    <t>TECSYS Inc.</t>
  </si>
  <si>
    <t>09/10/2024 at 15:46:03 UTC</t>
  </si>
  <si>
    <t>Motorola Solutions, Inc.</t>
  </si>
  <si>
    <t>09/12/2024 at 16:58:23 UTC</t>
  </si>
  <si>
    <t>Feith Systems and Software, Inc.</t>
  </si>
  <si>
    <t>09/26/2024 at 17:51:27 UTC</t>
  </si>
  <si>
    <t>Accusoft</t>
  </si>
  <si>
    <t>10/25/2022 at 19:18:01 UTC</t>
  </si>
  <si>
    <t>Glassbeam Inc.</t>
  </si>
  <si>
    <t>03/11/2024 at 15:45:31 UTC</t>
  </si>
  <si>
    <t>12/14/2023 at 16:04:15 UTC</t>
  </si>
  <si>
    <t>Imprivata, Inc.</t>
  </si>
  <si>
    <t>10/10/2024 at 18:03:49 UTC</t>
  </si>
  <si>
    <t>ISI Telemanagement Solutions, Inc.</t>
  </si>
  <si>
    <t>03/29/2023 at 03:18:46 UTC</t>
  </si>
  <si>
    <t>Nesa Solutions, Inc.</t>
  </si>
  <si>
    <t>09/26/2024 at 17:51:07 UTC</t>
  </si>
  <si>
    <t>AG Mednet, Inc.</t>
  </si>
  <si>
    <t>04/05/2023 at 00:57:32 UTC</t>
  </si>
  <si>
    <t>12/05/2022 at 17:52:47 UTC</t>
  </si>
  <si>
    <t>Qos.ch</t>
  </si>
  <si>
    <t>MedRx, Inc.</t>
  </si>
  <si>
    <t>08/29/2024 at 15:55:04 UTC</t>
  </si>
  <si>
    <t>11/29/2024 at 20:47:43 UTC</t>
  </si>
  <si>
    <t>nCoup Inc.</t>
  </si>
  <si>
    <t>01/03/2024 at 04:39:47 UTC</t>
  </si>
  <si>
    <t>12/19/2024 at 15:06:43 UTC</t>
  </si>
  <si>
    <t>Natus Medical Inc.</t>
  </si>
  <si>
    <t>11/25/2024 at 18:01:47 UTC</t>
  </si>
  <si>
    <t>Oversight Systems Inc.</t>
  </si>
  <si>
    <t>11/18/2024 at 14:26:43 UTC</t>
  </si>
  <si>
    <t>Parable Health, Inc.</t>
  </si>
  <si>
    <t>03/27/2023 at 15:43:21 UTC</t>
  </si>
  <si>
    <t>Performance Logic, Inc.</t>
  </si>
  <si>
    <t>07/29/2024 at 14:48:40 UTC</t>
  </si>
  <si>
    <t>XMPie Inc.</t>
  </si>
  <si>
    <t>01/30/2024 at 01:10:14 UTC</t>
  </si>
  <si>
    <t>pdfforge</t>
  </si>
  <si>
    <t>05/08/2024 at 13:47:52 UTC</t>
  </si>
  <si>
    <t>Postman, Inc.</t>
  </si>
  <si>
    <t>10/25/2024 at 15:13:47 UTC</t>
  </si>
  <si>
    <t>Bitscopic Inc.</t>
  </si>
  <si>
    <t>02/23/2024 at 02:53:38 UTC</t>
  </si>
  <si>
    <t>LifeLine Software Inc.</t>
  </si>
  <si>
    <t>10/28/2023 at 03:30:52 UTC</t>
  </si>
  <si>
    <t>Respondus, Inc.</t>
  </si>
  <si>
    <t>07/19/2024 at 16:34:07 UTC</t>
  </si>
  <si>
    <t>Open Software Technologies, Inc.</t>
  </si>
  <si>
    <t>12/05/2022 at 17:52:49 UTC</t>
  </si>
  <si>
    <t>09/21/2022 at 02:04:13 UTC</t>
  </si>
  <si>
    <t>Rosetta Stone Inc.</t>
  </si>
  <si>
    <t>03/13/2023 at 16:48:04 UTC</t>
  </si>
  <si>
    <t>Optical Lab Software Solutions Inc.</t>
  </si>
  <si>
    <t>09/20/2022 at 17:58:36 UTC</t>
  </si>
  <si>
    <t>/n software, Inc.</t>
  </si>
  <si>
    <t>03/20/2024 at 02:23:18 UTC</t>
  </si>
  <si>
    <t>Splashtop Inc.</t>
  </si>
  <si>
    <t>10/23/2023 at 14:32:46 UTC</t>
  </si>
  <si>
    <t>StudyTRAX LLC.</t>
  </si>
  <si>
    <t>08/16/2024 at 18:06:51 UTC</t>
  </si>
  <si>
    <t>Pneumercator Inc.</t>
  </si>
  <si>
    <t>09/19/2024 at 17:25:29 UTC</t>
  </si>
  <si>
    <t>TreeAge Software Inc.</t>
  </si>
  <si>
    <t>11/22/2023 at 20:45:36 UTC</t>
  </si>
  <si>
    <t>Acuity Brands Lighting Inc.</t>
  </si>
  <si>
    <t>10/29/2024 at 19:18:22 UTC</t>
  </si>
  <si>
    <t>Making Privacy Simple, LLC.</t>
  </si>
  <si>
    <t>12/15/2023 at 19:32:45 UTC</t>
  </si>
  <si>
    <t>PAR, Inc.</t>
  </si>
  <si>
    <t>12/13/2024 at 19:36:19 UTC</t>
  </si>
  <si>
    <t>Zenoss Inc.</t>
  </si>
  <si>
    <t>09/10/2024 at 15:46:07 UTC</t>
  </si>
  <si>
    <t>07/24/2024 at 04:25:08 UTC</t>
  </si>
  <si>
    <t>webSupergoo</t>
  </si>
  <si>
    <t>12/04/2024 at 19:12:02 UTC</t>
  </si>
  <si>
    <t>Add-in Express</t>
  </si>
  <si>
    <t>09/14/2022 at 19:24:06 UTC</t>
  </si>
  <si>
    <t>Adobe</t>
  </si>
  <si>
    <t>10/16/2023 at 16:24:26 UTC</t>
  </si>
  <si>
    <t>Amazon Web Services</t>
  </si>
  <si>
    <t>07/15/2024 at 19:06:06 UTC</t>
  </si>
  <si>
    <t>Zeiss</t>
  </si>
  <si>
    <t>04/23/2024 at 16:39:01 UTC</t>
  </si>
  <si>
    <t>Quest</t>
  </si>
  <si>
    <t>01/23/2024 at 01:30:41 UTC</t>
  </si>
  <si>
    <t>Crucial Life Sciences Data Solutions, Inc.</t>
  </si>
  <si>
    <t>04/01/2021 at 08:07:16 UTC</t>
  </si>
  <si>
    <t>09/10/2024 at 15:00:20 UTC</t>
  </si>
  <si>
    <t>ediFabric</t>
  </si>
  <si>
    <t>04/02/2024 at 02:04:54 UTC</t>
  </si>
  <si>
    <t>EmailArchitect</t>
  </si>
  <si>
    <t>10/26/2023 at 16:23:55 UTC</t>
  </si>
  <si>
    <t>James J. Hirsch &amp; Associates (JJH)</t>
  </si>
  <si>
    <t>06/21/2024 at 22:00:51 UTC</t>
  </si>
  <si>
    <t>12/26/2023 at 22:06:16 UTC</t>
  </si>
  <si>
    <t>08/01/2024 at 13:16:42 UTC</t>
  </si>
  <si>
    <t>FLIR Systems, Inc.</t>
  </si>
  <si>
    <t>08/29/2024 at 15:54:52 UTC</t>
  </si>
  <si>
    <t>HL7</t>
  </si>
  <si>
    <t>07/05/2023 at 17:22:09 UTC</t>
  </si>
  <si>
    <t>10/17/2023 at 15:01:13 UTC</t>
  </si>
  <si>
    <t>02/23/2024 at 14:30:53 UTC</t>
  </si>
  <si>
    <t>05/13/2024 at 16:17:13 UTC</t>
  </si>
  <si>
    <t>09/26/2024 at 15:07:47 UTC</t>
  </si>
  <si>
    <t>STARR Life Sciences Corp.</t>
  </si>
  <si>
    <t>09/28/2022 at 17:40:41 UTC</t>
  </si>
  <si>
    <t>NanoString Technologies Inc.</t>
  </si>
  <si>
    <t>06/10/2024 at 15:39:06 UTC</t>
  </si>
  <si>
    <t>12/27/2024 at 23:58:37 UTC</t>
  </si>
  <si>
    <t>SAP</t>
  </si>
  <si>
    <t>10/16/2024 at 21:31:27 UTC</t>
  </si>
  <si>
    <t>U. S. Access Board</t>
  </si>
  <si>
    <t>12/02/2024 at 22:51:10 UTC</t>
  </si>
  <si>
    <t>MGM Computer Systems, Inc</t>
  </si>
  <si>
    <t>01/18/2024 at 02:52:59 UTC</t>
  </si>
  <si>
    <t>Sencha, Inc.</t>
  </si>
  <si>
    <t>01/11/2023 at 18:22:33 UTC</t>
  </si>
  <si>
    <t>Pitney Bowes</t>
  </si>
  <si>
    <t>09/16/2024 at 14:58:51 UTC</t>
  </si>
  <si>
    <t>Vyaire</t>
  </si>
  <si>
    <t>01/11/2024 at 17:00:35 UTC</t>
  </si>
  <si>
    <t>International Business Machines (IBM)</t>
  </si>
  <si>
    <t>09/23/2022 at 21:34:58 UTC</t>
  </si>
  <si>
    <t>Siemens Healthcare</t>
  </si>
  <si>
    <t>08/01/2024 at 15:53:43 UTC</t>
  </si>
  <si>
    <t>The TOVA Company</t>
  </si>
  <si>
    <t>02/12/2024 at 20:36:35 UTC</t>
  </si>
  <si>
    <t>Trane</t>
  </si>
  <si>
    <t>06/21/2024 at 22:00:49 UTC</t>
  </si>
  <si>
    <t>Mesa Labs</t>
  </si>
  <si>
    <t>10/05/2022 at 00:48:49 UTC</t>
  </si>
  <si>
    <t>Voicebrook</t>
  </si>
  <si>
    <t>03/30/2023 at 17:10:02 UTC</t>
  </si>
  <si>
    <t>01/11/2024 at 17:00:34 UTC</t>
  </si>
  <si>
    <t>Neutrinolabs</t>
  </si>
  <si>
    <t>06/26/2024 at 16:14:51 UTC</t>
  </si>
  <si>
    <t>Yarn</t>
  </si>
  <si>
    <t>07/12/2024 at 02:56:00 UTC</t>
  </si>
  <si>
    <t>Netflix, Inc.</t>
  </si>
  <si>
    <t>06/03/2024 at 19:06:07 UTC</t>
  </si>
  <si>
    <t>3Dconnexion</t>
  </si>
  <si>
    <t>05/23/2024 at 16:18:52 UTC</t>
  </si>
  <si>
    <t>IDology</t>
  </si>
  <si>
    <t>12/27/2024 at 15:39:43 UTC</t>
  </si>
  <si>
    <t>RedGate</t>
  </si>
  <si>
    <t>03/27/2024 at 02:56:36 UTC</t>
  </si>
  <si>
    <t>Dapperlib</t>
  </si>
  <si>
    <t>11/20/2023 at 13:27:48 UTC</t>
  </si>
  <si>
    <t>Dino-Lite</t>
  </si>
  <si>
    <t>12/20/2024 at 21:29:11 UTC</t>
  </si>
  <si>
    <t>Adaptigent</t>
  </si>
  <si>
    <t>11/25/2024 at 18:01:51 UTC</t>
  </si>
  <si>
    <t>09/29/2023 at 18:28:11 UTC</t>
  </si>
  <si>
    <t>Vue</t>
  </si>
  <si>
    <t>05/29/2024 at 02:13:30 UTC</t>
  </si>
  <si>
    <t>Globe Microsystems Ltd.</t>
  </si>
  <si>
    <t>02/02/2024 at 03:13:42 UTC</t>
  </si>
  <si>
    <t>PDFTron Systems, Inc.</t>
  </si>
  <si>
    <t>05/23/2024 at 16:18:49 UTC</t>
  </si>
  <si>
    <t>Apryse Software Inc.</t>
  </si>
  <si>
    <t>09/10/2024 at 15:46:05 UTC</t>
  </si>
  <si>
    <t>Security Information Systems, Inc.</t>
  </si>
  <si>
    <t>10/16/2024 at 21:30:49 UTC</t>
  </si>
  <si>
    <t>Stoelting Co.</t>
  </si>
  <si>
    <t>02/17/2023 at 02:08:24 UTC</t>
  </si>
  <si>
    <t>11/18/2024 at 14:26:40 UTC</t>
  </si>
  <si>
    <t>01/23/2024 at 01:30:40 UTC</t>
  </si>
  <si>
    <t>Tecolote Research, Inc.</t>
  </si>
  <si>
    <t>07/15/2024 at 19:06:15 UTC</t>
  </si>
  <si>
    <t>3DHISTECH Ltd.</t>
  </si>
  <si>
    <t>01/25/2024 at 23:26:16 UTC</t>
  </si>
  <si>
    <t>Aruba Network, Inc.</t>
  </si>
  <si>
    <t>02/16/2023 at 18:15:09 UTC</t>
  </si>
  <si>
    <t>Net.Commons</t>
  </si>
  <si>
    <t>02/03/2020 at 18:50:29 UTC</t>
  </si>
  <si>
    <t>Dr. Browne Software</t>
  </si>
  <si>
    <t>04/04/2024 at 15:40:18 UTC</t>
  </si>
  <si>
    <t>02/19/2021 at 09:45:51 UTC</t>
  </si>
  <si>
    <t>12/13/2024 at 19:39:20 UTC</t>
  </si>
  <si>
    <t>Decision Systems, Inc.</t>
  </si>
  <si>
    <t>12/04/2018 at 13:07:37 UTC</t>
  </si>
  <si>
    <t>DF/Net Research Inc.</t>
  </si>
  <si>
    <t>05/22/2024 at 16:13:36 UTC</t>
  </si>
  <si>
    <t>MadCap Software, Inc.</t>
  </si>
  <si>
    <t>08/08/2022 at 17:52:03 UTC</t>
  </si>
  <si>
    <t>11/07/2024 at 19:09:16 UTC</t>
  </si>
  <si>
    <t>Dassault Systemes SolidWorks Corp.</t>
  </si>
  <si>
    <t>06/03/2024 at 19:06:16 UTC</t>
  </si>
  <si>
    <t>Socket.IO</t>
  </si>
  <si>
    <t>02/12/2024 at 20:36:25 UTC</t>
  </si>
  <si>
    <t>On Site Systems, Inc.</t>
  </si>
  <si>
    <t>12/10/2024 at 21:43:12 UTC</t>
  </si>
  <si>
    <t>Psychology Software Tools, Inc.</t>
  </si>
  <si>
    <t>06/27/2024 at 17:09:22 UTC</t>
  </si>
  <si>
    <t>Fast Reports Inc.</t>
  </si>
  <si>
    <t>07/01/2024 at 19:39:37 UTC</t>
  </si>
  <si>
    <t>Multi-Tech Systems, Inc.</t>
  </si>
  <si>
    <t>01/03/2024 at 04:39:56 UTC</t>
  </si>
  <si>
    <t>09/26/2024 at 17:51:26 UTC</t>
  </si>
  <si>
    <t>09/26/2024 at 17:51:29 UTC</t>
  </si>
  <si>
    <t>09/26/2024 at 17:51:28 UTC</t>
  </si>
  <si>
    <t>Firefly Global Inc.</t>
  </si>
  <si>
    <t>04/29/2024 at 16:45:45 UTC</t>
  </si>
  <si>
    <t>Fitbit Inc.</t>
  </si>
  <si>
    <t>12/05/2022 at 17:52:45 UTC</t>
  </si>
  <si>
    <t>Grammarly, Inc.</t>
  </si>
  <si>
    <t>12/18/2023 at 22:10:04 UTC</t>
  </si>
  <si>
    <t>harmon.ie</t>
  </si>
  <si>
    <t>07/23/2020 at 10:35:45 UTC</t>
  </si>
  <si>
    <t>Heidelberg Engineering, Inc.</t>
  </si>
  <si>
    <t>07/30/2024 at 16:02:08 UTC</t>
  </si>
  <si>
    <t>Huron Consulting Group, Inc.</t>
  </si>
  <si>
    <t>02/23/2024 at 02:59:39 UTC</t>
  </si>
  <si>
    <t>08/31/2022 at 02:19:00 UTC</t>
  </si>
  <si>
    <t>Immuta Inc.</t>
  </si>
  <si>
    <t>09/25/2024 at 01:50:18 UTC</t>
  </si>
  <si>
    <t>Medidata Solutions, Inc.</t>
  </si>
  <si>
    <t>11/14/2024 at 18:51:33 UTC</t>
  </si>
  <si>
    <t>ICU Medical, Inc.</t>
  </si>
  <si>
    <t>01/31/2023 at 03:11:05 UTC</t>
  </si>
  <si>
    <t>CaseWare International Inc.</t>
  </si>
  <si>
    <t>01/06/2025 at 02:05:01 UTC</t>
  </si>
  <si>
    <t>Inventrix, Inc.</t>
  </si>
  <si>
    <t>02/01/2024 at 03:23:44 UTC</t>
  </si>
  <si>
    <t>LYNXPM, L.L.C</t>
  </si>
  <si>
    <t>12/27/2024 at 23:58:34 UTC</t>
  </si>
  <si>
    <t>08/28/2024 at 17:43:05 UTC</t>
  </si>
  <si>
    <t>Minitab Inc.</t>
  </si>
  <si>
    <t>07/19/2024 at 16:33:49 UTC</t>
  </si>
  <si>
    <t>05/06/2024 at 17:36:24 UTC</t>
  </si>
  <si>
    <t>Ambulatory Monitoring, Inc.</t>
  </si>
  <si>
    <t>10/13/2023 at 02:09:14 UTC</t>
  </si>
  <si>
    <t>Carlos J. Quintero</t>
  </si>
  <si>
    <t>09/28/2022 at 01:40:50 UTC</t>
  </si>
  <si>
    <t>12/22/2022 at 22:17:18 UTC</t>
  </si>
  <si>
    <t>Charm Sciences, Inc.</t>
  </si>
  <si>
    <t>06/11/2024 at 16:45:44 UTC</t>
  </si>
  <si>
    <t>DigitalCore, Co.Ltd</t>
  </si>
  <si>
    <t>09/16/2022 at 19:27:18 UTC</t>
  </si>
  <si>
    <t>10/14/2024 at 01:23:20 UTC</t>
  </si>
  <si>
    <t>Planview, Inc.</t>
  </si>
  <si>
    <t>01/20/2023 at 19:57:19 UTC</t>
  </si>
  <si>
    <t>MGateway Ltd.</t>
  </si>
  <si>
    <t>12/15/2023 at 19:32:48 UTC</t>
  </si>
  <si>
    <t>Qmatic, Inc.</t>
  </si>
  <si>
    <t>04/04/2024 at 15:40:24 UTC</t>
  </si>
  <si>
    <t>TextHelp Systems Ltd.</t>
  </si>
  <si>
    <t>06/13/2024 at 16:57:17 UTC</t>
  </si>
  <si>
    <t>Gravic, Inc.</t>
  </si>
  <si>
    <t>06/03/2024 at 19:06:02 UTC</t>
  </si>
  <si>
    <t>07/01/2024 at 19:39:33 UTC</t>
  </si>
  <si>
    <t>SYSTAT Software Inc.</t>
  </si>
  <si>
    <t>05/10/2024 at 16:22:54 UTC</t>
  </si>
  <si>
    <t>CADlink Tech. Corp.</t>
  </si>
  <si>
    <t>03/08/2024 at 03:13:57 UTC</t>
  </si>
  <si>
    <t>Sisense Inc.</t>
  </si>
  <si>
    <t>01/18/2023 at 17:07:45 UTC</t>
  </si>
  <si>
    <t>Systems Technology, Inc.</t>
  </si>
  <si>
    <t>06/22/2021 at 18:59:54 UTC</t>
  </si>
  <si>
    <t>Systat Software, Inc.</t>
  </si>
  <si>
    <t>03/17/2023 at 19:30:51 UTC</t>
  </si>
  <si>
    <t>02/02/2024 at 03:13:49 UTC</t>
  </si>
  <si>
    <t>Telescript West, Inc.</t>
  </si>
  <si>
    <t>TrackCore, Inc.</t>
  </si>
  <si>
    <t>12/12/2022 at 16:50:53 UTC</t>
  </si>
  <si>
    <t>TSI Inc.</t>
  </si>
  <si>
    <t>11/06/2024 at 02:07:26 UTC</t>
  </si>
  <si>
    <t>11/26/2022 at 00:53:34 UTC</t>
  </si>
  <si>
    <t>IDM Computer Solutions, Inc.</t>
  </si>
  <si>
    <t>03/11/2024 at 14:14:37 UTC</t>
  </si>
  <si>
    <t>UNICOM Systems, Inc.</t>
  </si>
  <si>
    <t>01/20/2023 at 19:57:11 UTC</t>
  </si>
  <si>
    <t>10/19/2022 at 17:29:36 UTC</t>
  </si>
  <si>
    <t>Levi, Ray &amp; Shoup, Inc. (LRS)</t>
  </si>
  <si>
    <t>Michael Bridgen</t>
  </si>
  <si>
    <t>02/28/2023 at 20:32:28 UTC</t>
  </si>
  <si>
    <t>Precisely</t>
  </si>
  <si>
    <t>10/25/2023 at 20:43:39 UTC</t>
  </si>
  <si>
    <t>Document Storage Systems, Inc (DSS)</t>
  </si>
  <si>
    <t>06/06/2024 at 16:17:50 UTC</t>
  </si>
  <si>
    <t>Noldus</t>
  </si>
  <si>
    <t>09/23/2024 at 17:31:21 UTC</t>
  </si>
  <si>
    <t>FIREHOUSE Software</t>
  </si>
  <si>
    <t>07/01/2024 at 15:53:07 UTC</t>
  </si>
  <si>
    <t>10/07/2021 at 00:48:27 UTC</t>
  </si>
  <si>
    <t>Lightbend, Inc.</t>
  </si>
  <si>
    <t>06/02/2020 at 12:49:31 UTC</t>
  </si>
  <si>
    <t>02/06/2024 at 02:00:59 UTC</t>
  </si>
  <si>
    <t>03/29/2023 at 03:18:41 UTC</t>
  </si>
  <si>
    <t>Internet Systems Consortium, Inc.</t>
  </si>
  <si>
    <t>02/02/2023 at 18:46:44 UTC</t>
  </si>
  <si>
    <t>Stago</t>
  </si>
  <si>
    <t>05/09/2024 at 19:08:26 UTC</t>
  </si>
  <si>
    <t>Computer Management Sciences, Inc.</t>
  </si>
  <si>
    <t>08/27/2024 at 02:03:11 UTC</t>
  </si>
  <si>
    <t>MacKinney Systems, Inc.</t>
  </si>
  <si>
    <t>11/07/2024 at 19:09:21 UTC</t>
  </si>
  <si>
    <t>06/28/2019 at 13:56:10 UTC</t>
  </si>
  <si>
    <t>Device42 Inc.</t>
  </si>
  <si>
    <t>02/07/2024 at 18:08:40 UTC</t>
  </si>
  <si>
    <t>03/25/2024 at 16:46:26 UTC</t>
  </si>
  <si>
    <t>01/14/2020 at 08:55:48 UTC</t>
  </si>
  <si>
    <t>Elastic</t>
  </si>
  <si>
    <t>12/19/2024 at 15:06:44 UTC</t>
  </si>
  <si>
    <t>DIRAK, Inc.</t>
  </si>
  <si>
    <t>10/07/2024 at 22:23:15 UTC</t>
  </si>
  <si>
    <t>02/06/2023 at 20:28:09 UTC</t>
  </si>
  <si>
    <t>E-Tech, Inc.</t>
  </si>
  <si>
    <t>03/14/2021 at 20:46:37 UTC</t>
  </si>
  <si>
    <t>10/18/2022 at 17:41:05 UTC</t>
  </si>
  <si>
    <t>Blackbaud Inc.</t>
  </si>
  <si>
    <t>04/01/2024 at 02:09:08 UTC</t>
  </si>
  <si>
    <t>Heinrich-Heine-University Dusseldorf</t>
  </si>
  <si>
    <t>03/04/2024 at 21:13:00 UTC</t>
  </si>
  <si>
    <t>Gpg4win.org</t>
  </si>
  <si>
    <t>11/29/2024 at 20:47:40 UTC</t>
  </si>
  <si>
    <t>U.S. National Institute of Biomedical Imaging and BioEngineering</t>
  </si>
  <si>
    <t>12/07/2023 at 18:12:24 UTC</t>
  </si>
  <si>
    <t>Sam Pullara</t>
  </si>
  <si>
    <t>01/30/2024 at 01:10:02 UTC</t>
  </si>
  <si>
    <t>Orbeon, Inc.</t>
  </si>
  <si>
    <t>02/09/2023 at 03:34:26 UTC</t>
  </si>
  <si>
    <t>06/18/2024 at 16:25:02 UTC</t>
  </si>
  <si>
    <t>Quadient</t>
  </si>
  <si>
    <t>11/15/2024 at 21:35:14 UTC</t>
  </si>
  <si>
    <t>04/12/2024 at 16:36:35 UTC</t>
  </si>
  <si>
    <t>10/18/2024 at 17:34:30 UTC</t>
  </si>
  <si>
    <t>R-Tools Technology Inc.</t>
  </si>
  <si>
    <t>09/10/2024 at 15:45:58 UTC</t>
  </si>
  <si>
    <t>ClassApps</t>
  </si>
  <si>
    <t>SGRQ</t>
  </si>
  <si>
    <t>04/16/2024 at 15:23:35 UTC</t>
  </si>
  <si>
    <t>05/09/2023 at 03:56:02 UTC</t>
  </si>
  <si>
    <t>Tzunami Inc.</t>
  </si>
  <si>
    <t>09/01/2022 at 20:19:23 UTC</t>
  </si>
  <si>
    <t>2020 Spaces, A Cyncly Company</t>
  </si>
  <si>
    <t>08/01/2024 at 15:53:40 UTC</t>
  </si>
  <si>
    <t>TouchPoint Medical</t>
  </si>
  <si>
    <t>Acronis</t>
  </si>
  <si>
    <t>12/06/2023 at 02:43:55 UTC</t>
  </si>
  <si>
    <t>11/26/2024 at 15:08:06 UTC</t>
  </si>
  <si>
    <t>ActiveState</t>
  </si>
  <si>
    <t>12/04/2024 at 19:12:03 UTC</t>
  </si>
  <si>
    <t>05/23/2024 at 01:20:08 UTC</t>
  </si>
  <si>
    <t>05/23/2024 at 18:27:59 UTC</t>
  </si>
  <si>
    <t>11/29/2024 at 17:31:35 UTC</t>
  </si>
  <si>
    <t>Steris</t>
  </si>
  <si>
    <t>07/29/2024 at 14:48:42 UTC</t>
  </si>
  <si>
    <t>Alfresco</t>
  </si>
  <si>
    <t>07/19/2024 at 16:34:03 UTC</t>
  </si>
  <si>
    <t>Alteryx</t>
  </si>
  <si>
    <t>07/19/2024 at 02:54:52 UTC</t>
  </si>
  <si>
    <t>09/29/2023 at 18:28:12 UTC</t>
  </si>
  <si>
    <t>03/14/2024 at 16:03:39 UTC</t>
  </si>
  <si>
    <t>12/11/2023 at 19:43:24 UTC</t>
  </si>
  <si>
    <t>02/22/2023 at 19:05:51 UTC</t>
  </si>
  <si>
    <t>Amazon</t>
  </si>
  <si>
    <t>11/16/2023 at 20:31:11 UTC</t>
  </si>
  <si>
    <t>Google</t>
  </si>
  <si>
    <t>08/13/2024 at 13:28:45 UTC</t>
  </si>
  <si>
    <t>Mulesoft</t>
  </si>
  <si>
    <t>Apache Software Foundation (ASF)</t>
  </si>
  <si>
    <t>03/01/2023 at 22:30:33 UTC</t>
  </si>
  <si>
    <t>07/24/2024 at 04:25:09 UTC</t>
  </si>
  <si>
    <t>10/29/2024 at 19:18:16 UTC</t>
  </si>
  <si>
    <t>03/26/2024 at 16:11:00 UTC</t>
  </si>
  <si>
    <t>11/15/2022 at 13:31:30 UTC</t>
  </si>
  <si>
    <t>Esri</t>
  </si>
  <si>
    <t>12/13/2024 at 19:38:08 UTC</t>
  </si>
  <si>
    <t>Honeywell</t>
  </si>
  <si>
    <t>01/07/2025 at 01:24:51 UTC</t>
  </si>
  <si>
    <t>Simens Healthineers</t>
  </si>
  <si>
    <t>03/08/2023 at 04:43:35 UTC</t>
  </si>
  <si>
    <t>Riverbed</t>
  </si>
  <si>
    <t>08/30/2024 at 16:19:27 UTC</t>
  </si>
  <si>
    <t>Audacity</t>
  </si>
  <si>
    <t>11/14/2024 at 22:59:50 UTC</t>
  </si>
  <si>
    <t>Dell EMC</t>
  </si>
  <si>
    <t>02/14/2024 at 03:14:45 UTC</t>
  </si>
  <si>
    <t>10/04/2024 at 20:50:52 UTC</t>
  </si>
  <si>
    <t>Bio-Medical Instruments</t>
  </si>
  <si>
    <t>02/12/2024 at 20:36:31 UTC</t>
  </si>
  <si>
    <t>Applied Maths</t>
  </si>
  <si>
    <t>Blue Prism</t>
  </si>
  <si>
    <t>04/15/2024 at 15:52:20 UTC</t>
  </si>
  <si>
    <t>BMC Software</t>
  </si>
  <si>
    <t>10/26/2023 at 19:18:38 UTC</t>
  </si>
  <si>
    <t>09/17/2024 at 16:21:53 UTC</t>
  </si>
  <si>
    <t>BESA GmbH</t>
  </si>
  <si>
    <t>03/07/2024 at 02:25:24 UTC</t>
  </si>
  <si>
    <t>National Institute of Standards and Technology (NIST)</t>
  </si>
  <si>
    <t>10/24/2023 at 01:34:27 UTC</t>
  </si>
  <si>
    <t>Eclipse</t>
  </si>
  <si>
    <t>03/16/2023 at 03:46:35 UTC</t>
  </si>
  <si>
    <t>Micro Focus</t>
  </si>
  <si>
    <t>11/21/2024 at 23:32:33 UTC</t>
  </si>
  <si>
    <t>Broadcom</t>
  </si>
  <si>
    <t>03/14/2024 at 16:04:08 UTC</t>
  </si>
  <si>
    <t>12/20/2024 at 22:31:43 UTC</t>
  </si>
  <si>
    <t>TechSmith</t>
  </si>
  <si>
    <t>06/21/2024 at 22:00:33 UTC</t>
  </si>
  <si>
    <t>Global Med</t>
  </si>
  <si>
    <t>11/06/2023 at 20:27:15 UTC</t>
  </si>
  <si>
    <t>04/05/2023 at 00:57:23 UTC</t>
  </si>
  <si>
    <t>CAST</t>
  </si>
  <si>
    <t>01/30/2024 at 01:07:44 UTC</t>
  </si>
  <si>
    <t>Centrify</t>
  </si>
  <si>
    <t>05/16/2019 at 11:24:00 UTC</t>
  </si>
  <si>
    <t>Configura</t>
  </si>
  <si>
    <t>07/10/2024 at 12:15:37 UTC</t>
  </si>
  <si>
    <t>PerkinElmer</t>
  </si>
  <si>
    <t>12/19/2022 at 16:30:52 UTC</t>
  </si>
  <si>
    <t>Circle Cardiovascular Imaging</t>
  </si>
  <si>
    <t>08/12/2024 at 15:25:16 UTC</t>
  </si>
  <si>
    <t>Cisco Systems, Inc</t>
  </si>
  <si>
    <t>10/25/2024 at 15:59:02 UTC</t>
  </si>
  <si>
    <t>Cleo</t>
  </si>
  <si>
    <t>01/24/2024 at 03:39:40 UTC</t>
  </si>
  <si>
    <t>Barco</t>
  </si>
  <si>
    <t>12/27/2024 at 23:58:38 UTC</t>
  </si>
  <si>
    <t>04/10/2024 at 17:36:39 UTC</t>
  </si>
  <si>
    <t>Electro Industries/ Gauge Tech</t>
  </si>
  <si>
    <t>07/19/2024 at 16:33:42 UTC</t>
  </si>
  <si>
    <t>CommVault Systems</t>
  </si>
  <si>
    <t>02/07/2024 at 18:15:01 UTC</t>
  </si>
  <si>
    <t>08/05/2022 at 16:07:05 UTC</t>
  </si>
  <si>
    <t>CyberLink</t>
  </si>
  <si>
    <t>11/15/2023 at 19:03:09 UTC</t>
  </si>
  <si>
    <t>Henk Mollema</t>
  </si>
  <si>
    <t>03/17/2023 at 19:30:50 UTC</t>
  </si>
  <si>
    <t>09/16/2024 at 14:58:52 UTC</t>
  </si>
  <si>
    <t>Data Know How</t>
  </si>
  <si>
    <t>01/17/2023 at 17:42:15 UTC</t>
  </si>
  <si>
    <t>12/26/2023 at 22:06:19 UTC</t>
  </si>
  <si>
    <t>Dell</t>
  </si>
  <si>
    <t>10/10/2024 at 02:06:14 UTC</t>
  </si>
  <si>
    <t>12/26/2023 at 22:06:11 UTC</t>
  </si>
  <si>
    <t>Xerox</t>
  </si>
  <si>
    <t>01/02/2025 at 15:06:26 UTC</t>
  </si>
  <si>
    <t>Drupal</t>
  </si>
  <si>
    <t>01/11/2023 at 18:22:30 UTC</t>
  </si>
  <si>
    <t>Sangoma</t>
  </si>
  <si>
    <t>04/01/2024 at 02:11:18 UTC</t>
  </si>
  <si>
    <t>Olympus</t>
  </si>
  <si>
    <t>11/08/2024 at 02:03:30 UTC</t>
  </si>
  <si>
    <t>06/03/2024 at 16:54:59 UTC</t>
  </si>
  <si>
    <t>02/23/2024 at 14:30:51 UTC</t>
  </si>
  <si>
    <t>11/09/2023 at 02:15:42 UTC</t>
  </si>
  <si>
    <t>Baxter</t>
  </si>
  <si>
    <t>10/12/2023 at 19:34:46 UTC</t>
  </si>
  <si>
    <t>Roland DGA Corporation</t>
  </si>
  <si>
    <t>10/05/2020 at 22:41:34 UTC</t>
  </si>
  <si>
    <t>CA Technologies</t>
  </si>
  <si>
    <t>04/04/2024 at 15:40:30 UTC</t>
  </si>
  <si>
    <t>Dynamsoft</t>
  </si>
  <si>
    <t>11/01/2023 at 16:44:58 UTC</t>
  </si>
  <si>
    <t>Cytel</t>
  </si>
  <si>
    <t>11/30/2022 at 02:56:31 UTC</t>
  </si>
  <si>
    <t>HID Global</t>
  </si>
  <si>
    <t>07/17/2024 at 16:03:14 UTC</t>
  </si>
  <si>
    <t>10/31/2023 at 15:57:04 UTC</t>
  </si>
  <si>
    <t>Schneider Electric</t>
  </si>
  <si>
    <t>04/11/2024 at 15:53:23 UTC</t>
  </si>
  <si>
    <t>EFI (Electronics For Imaging, Inc)</t>
  </si>
  <si>
    <t>11/16/2023 at 20:31:13 UTC</t>
  </si>
  <si>
    <t>Open Text</t>
  </si>
  <si>
    <t>10/07/2024 at 22:22:05 UTC</t>
  </si>
  <si>
    <t>Clarivate Analytics</t>
  </si>
  <si>
    <t>12/06/2024 at 12:55:09 UTC</t>
  </si>
  <si>
    <t>02/16/2024 at 17:19:46 UTC</t>
  </si>
  <si>
    <t>Ephesoft</t>
  </si>
  <si>
    <t>07/30/2024 at 16:02:06 UTC</t>
  </si>
  <si>
    <t>Centers for Disease Control and Prevention</t>
  </si>
  <si>
    <t>11/30/2022 at 02:56:28 UTC</t>
  </si>
  <si>
    <t>Idera</t>
  </si>
  <si>
    <t>10/31/2024 at 16:35:37 UTC</t>
  </si>
  <si>
    <t>Marc Gravell</t>
  </si>
  <si>
    <t>03/14/2024 at 16:04:40 UTC</t>
  </si>
  <si>
    <t>De Novo Software</t>
  </si>
  <si>
    <t>06/03/2024 at 19:05:59 UTC</t>
  </si>
  <si>
    <t>Esha Research</t>
  </si>
  <si>
    <t>04/10/2024 at 17:17:08 UTC</t>
  </si>
  <si>
    <t>The University of Sheffield</t>
  </si>
  <si>
    <t>07/01/2024 at 14:13:52 UTC</t>
  </si>
  <si>
    <t>HCL Technologies, Limited</t>
  </si>
  <si>
    <t>04/19/2024 at 03:49:17 UTC</t>
  </si>
  <si>
    <t>04/16/2019 at 08:02:58 UTC</t>
  </si>
  <si>
    <t>08/16/2024 at 18:06:47 UTC</t>
  </si>
  <si>
    <t>InterSystems</t>
  </si>
  <si>
    <t>09/25/2024 at 18:22:50 UTC</t>
  </si>
  <si>
    <t>Hiperwall</t>
  </si>
  <si>
    <t>06/11/2024 at 16:45:46 UTC</t>
  </si>
  <si>
    <t>06/28/2023 at 21:50:19 UTC</t>
  </si>
  <si>
    <t>Onset</t>
  </si>
  <si>
    <t>10/06/2023 at 02:26:09 UTC</t>
  </si>
  <si>
    <t>12/27/2024 at 23:58:35 UTC</t>
  </si>
  <si>
    <t>SecureBlackbox</t>
  </si>
  <si>
    <t>04/30/2020 at 14:27:51 UTC</t>
  </si>
  <si>
    <t>12/05/2023 at 03:43:09 UTC</t>
  </si>
  <si>
    <t>05/18/2020 at 11:55:40 UTC</t>
  </si>
  <si>
    <t>IDville</t>
  </si>
  <si>
    <t>11/15/2024 at 21:35:10 UTC</t>
  </si>
  <si>
    <t>02/14/2024 at 03:29:45 UTC</t>
  </si>
  <si>
    <t>National Institutes of Health - Research Services Branch</t>
  </si>
  <si>
    <t>12/20/2024 at 22:31:47 UTC</t>
  </si>
  <si>
    <t>MediaCybernetics</t>
  </si>
  <si>
    <t>12/27/2024 at 23:58:36 UTC</t>
  </si>
  <si>
    <t>InfoRad</t>
  </si>
  <si>
    <t>04/30/2024 at 17:14:37 UTC</t>
  </si>
  <si>
    <t>12/02/2024 at 22:51:11 UTC</t>
  </si>
  <si>
    <t>06/10/2024 at 15:39:09 UTC</t>
  </si>
  <si>
    <t>12/20/2024 at 21:29:12 UTC</t>
  </si>
  <si>
    <t>12/13/2024 at 19:36:29 UTC</t>
  </si>
  <si>
    <t>InVita Healthcare Technologies</t>
  </si>
  <si>
    <t>09/16/2022 at 19:27:19 UTC</t>
  </si>
  <si>
    <t>10/29/2024 at 19:18:26 UTC</t>
  </si>
  <si>
    <t>Pivotal Labs</t>
  </si>
  <si>
    <t>Red Hat</t>
  </si>
  <si>
    <t>09/01/2022 at 20:19:28 UTC</t>
  </si>
  <si>
    <t>Java Decompiler</t>
  </si>
  <si>
    <t>07/12/2023 at 13:13:01 UTC</t>
  </si>
  <si>
    <t>07/24/2024 at 04:25:13 UTC</t>
  </si>
  <si>
    <t>Atlassian Software Systems</t>
  </si>
  <si>
    <t>06/03/2024 at 16:54:56 UTC</t>
  </si>
  <si>
    <t>Freedom Scientific</t>
  </si>
  <si>
    <t>12/13/2024 at 19:36:21 UTC</t>
  </si>
  <si>
    <t>EJ Technologies</t>
  </si>
  <si>
    <t>07/01/2024 at 15:53:13 UTC</t>
  </si>
  <si>
    <t>Jscape</t>
  </si>
  <si>
    <t>05/24/2024 at 16:48:50 UTC</t>
  </si>
  <si>
    <t>SolarWinds</t>
  </si>
  <si>
    <t>Genetec</t>
  </si>
  <si>
    <t>04/04/2024 at 03:11:00 UTC</t>
  </si>
  <si>
    <t>Korbyt</t>
  </si>
  <si>
    <t>02/16/2024 at 17:19:54 UTC</t>
  </si>
  <si>
    <t>Kubernetes</t>
  </si>
  <si>
    <t>09/09/2024 at 15:24:22 UTC</t>
  </si>
  <si>
    <t>Liferay</t>
  </si>
  <si>
    <t>10/03/2024 at 15:55:51 UTC</t>
  </si>
  <si>
    <t>OpenText</t>
  </si>
  <si>
    <t>10/10/2024 at 18:03:50 UTC</t>
  </si>
  <si>
    <t>Lumion</t>
  </si>
  <si>
    <t>02/23/2024 at 14:30:49 UTC</t>
  </si>
  <si>
    <t>Apple</t>
  </si>
  <si>
    <t>MJT NET Ltd</t>
  </si>
  <si>
    <t>10/13/2022 at 21:20:25 UTC</t>
  </si>
  <si>
    <t>VERBI GmbH</t>
  </si>
  <si>
    <t>11/15/2023 at 19:03:08 UTC</t>
  </si>
  <si>
    <t>11/06/2024 at 02:07:49 UTC</t>
  </si>
  <si>
    <t>Mestrelab Research</t>
  </si>
  <si>
    <t>01/11/2024 at 16:59:22 UTC</t>
  </si>
  <si>
    <t>11/04/2022 at 01:37:19 UTC</t>
  </si>
  <si>
    <t>01/25/2024 at 23:26:33 UTC</t>
  </si>
  <si>
    <t>US Army Corps of Engineers</t>
  </si>
  <si>
    <t>11/14/2023 at 14:20:58 UTC</t>
  </si>
  <si>
    <t>Earnie Boyd</t>
  </si>
  <si>
    <t>10/06/2023 at 02:26:11 UTC</t>
  </si>
  <si>
    <t>NextGen</t>
  </si>
  <si>
    <t>05/30/2024 at 02:59:23 UTC</t>
  </si>
  <si>
    <t>Nemours Speech Research Laboratory</t>
  </si>
  <si>
    <t>12/22/2022 at 23:05:51 UTC</t>
  </si>
  <si>
    <t>12/09/2022 at 20:11:04 UTC</t>
  </si>
  <si>
    <t>Muthen &amp; Muthen</t>
  </si>
  <si>
    <t>06/18/2024 at 16:24:55 UTC</t>
  </si>
  <si>
    <t>10/02/2024 at 21:47:33 UTC</t>
  </si>
  <si>
    <t>Genuitec</t>
  </si>
  <si>
    <t>11/02/2023 at 18:47:58 UTC</t>
  </si>
  <si>
    <t>Nagios Enterprises</t>
  </si>
  <si>
    <t>11/20/2023 at 13:27:47 UTC</t>
  </si>
  <si>
    <t>PremiumSoft CyberTech</t>
  </si>
  <si>
    <t>NetApp</t>
  </si>
  <si>
    <t>02/27/2024 at 03:43:48 UTC</t>
  </si>
  <si>
    <t>05/14/2024 at 01:26:18 UTC</t>
  </si>
  <si>
    <t>02/12/2024 at 14:52:25 UTC</t>
  </si>
  <si>
    <t>Nlyte</t>
  </si>
  <si>
    <t>HIMSA</t>
  </si>
  <si>
    <t>12/11/2023 at 20:10:32 UTC</t>
  </si>
  <si>
    <t>Statsols</t>
  </si>
  <si>
    <t>05/09/2023 at 19:44:10 UTC</t>
  </si>
  <si>
    <t>Lumivero</t>
  </si>
  <si>
    <t>03/13/2024 at 17:14:31 UTC</t>
  </si>
  <si>
    <t>Waveded</t>
  </si>
  <si>
    <t>09/21/2022 at 02:03:58 UTC</t>
  </si>
  <si>
    <t>Actian</t>
  </si>
  <si>
    <t>09/13/2022 at 18:11:38 UTC</t>
  </si>
  <si>
    <t>10/10/2024 at 18:03:52 UTC</t>
  </si>
  <si>
    <t>10/28/2024 at 16:28:24 UTC</t>
  </si>
  <si>
    <t>PassMark</t>
  </si>
  <si>
    <t>Bureau of the Fiscal Service</t>
  </si>
  <si>
    <t>Oticon</t>
  </si>
  <si>
    <t>09/21/2022 at 02:03:50 UTC</t>
  </si>
  <si>
    <t>Paessler AG</t>
  </si>
  <si>
    <t>02/22/2024 at 03:38:36 UTC</t>
  </si>
  <si>
    <t>Parallels</t>
  </si>
  <si>
    <t>05/08/2024 at 13:48:02 UTC</t>
  </si>
  <si>
    <t>12/20/2023 at 18:57:47 UTC</t>
  </si>
  <si>
    <t>08/28/2024 at 17:43:15 UTC</t>
  </si>
  <si>
    <t>Hitachi Vantara</t>
  </si>
  <si>
    <t>11/09/2023 at 19:23:09 UTC</t>
  </si>
  <si>
    <t>Pexip</t>
  </si>
  <si>
    <t>12/10/2024 at 18:06:45 UTC</t>
  </si>
  <si>
    <t>02/16/2024 at 17:19:45 UTC</t>
  </si>
  <si>
    <t>PMD</t>
  </si>
  <si>
    <t>08/01/2024 at 15:53:42 UTC</t>
  </si>
  <si>
    <t>PostgreSQL Global Development Group</t>
  </si>
  <si>
    <t>11/03/2023 at 03:22:49 UTC</t>
  </si>
  <si>
    <t>PrimeTek Informatics</t>
  </si>
  <si>
    <t>02/24/2023 at 03:36:09 UTC</t>
  </si>
  <si>
    <t>05/13/2024 at 16:17:14 UTC</t>
  </si>
  <si>
    <t>QlikTech</t>
  </si>
  <si>
    <t>10/10/2022 at 19:58:52 UTC</t>
  </si>
  <si>
    <t>Provalis Research</t>
  </si>
  <si>
    <t>09/21/2022 at 02:03:55 UTC</t>
  </si>
  <si>
    <t>12/19/2024 at 15:06:51 UTC</t>
  </si>
  <si>
    <t>Quest Diagnostics</t>
  </si>
  <si>
    <t>Embarcadero Technologies</t>
  </si>
  <si>
    <t>02/02/2024 at 03:08:03 UTC</t>
  </si>
  <si>
    <t>RARLAB</t>
  </si>
  <si>
    <t>05/24/2024 at 16:48:48 UTC</t>
  </si>
  <si>
    <t>09/01/2022 at 20:19:34 UTC</t>
  </si>
  <si>
    <t>03/29/2024 at 02:26:09 UTC</t>
  </si>
  <si>
    <t>Reprise</t>
  </si>
  <si>
    <t>10/14/2024 at 01:20:06 UTC</t>
  </si>
  <si>
    <t>Rails Core Team</t>
  </si>
  <si>
    <t>11/20/2024 at 14:40:26 UTC</t>
  </si>
  <si>
    <t>Thales Group</t>
  </si>
  <si>
    <t>11/12/2024 at 01:41:44 UTC</t>
  </si>
  <si>
    <t>SaltStack</t>
  </si>
  <si>
    <t>07/01/2024 at 19:39:44 UTC</t>
  </si>
  <si>
    <t>McKesson</t>
  </si>
  <si>
    <t>06/21/2024 at 22:00:37 UTC</t>
  </si>
  <si>
    <t>06/21/2024 at 02:48:51 UTC</t>
  </si>
  <si>
    <t>SAS</t>
  </si>
  <si>
    <t>10/05/2022 at 21:49:02 UTC</t>
  </si>
  <si>
    <t>Fujitsu</t>
  </si>
  <si>
    <t>04/01/2024 at 02:09:09 UTC</t>
  </si>
  <si>
    <t>MeadCO</t>
  </si>
  <si>
    <t>04/01/2024 at 19:29:57 UTC</t>
  </si>
  <si>
    <t>Welch Allyn</t>
  </si>
  <si>
    <t>05/01/2023 at 16:40:35 UTC</t>
  </si>
  <si>
    <t>07/15/2024 at 19:06:08 UTC</t>
  </si>
  <si>
    <t>Raimund Hocke aka RaiMan</t>
  </si>
  <si>
    <t>11/30/2023 at 17:15:41 UTC</t>
  </si>
  <si>
    <t>Grandite</t>
  </si>
  <si>
    <t>01/30/2024 at 01:11:18 UTC</t>
  </si>
  <si>
    <t>MG-SOFT</t>
  </si>
  <si>
    <t>05/14/2024 at 21:56:42 UTC</t>
  </si>
  <si>
    <t>TomoVision</t>
  </si>
  <si>
    <t>HP</t>
  </si>
  <si>
    <t>07/31/2024 at 16:43:49 UTC</t>
  </si>
  <si>
    <t>SnapComms</t>
  </si>
  <si>
    <t>03/27/2024 at 01:49:25 UTC</t>
  </si>
  <si>
    <t>Molecular Devices</t>
  </si>
  <si>
    <t>12/20/2022 at 16:43:29 UTC</t>
  </si>
  <si>
    <t>12/19/2024 at 15:06:52 UTC</t>
  </si>
  <si>
    <t>NASA</t>
  </si>
  <si>
    <t>08/28/2024 at 17:43:10 UTC</t>
  </si>
  <si>
    <t>10/25/2024 at 15:59:15 UTC</t>
  </si>
  <si>
    <t>StrawberryPerl</t>
  </si>
  <si>
    <t>08/27/2024 at 02:03:02 UTC</t>
  </si>
  <si>
    <t>04/15/2024 at 12:20:41 UTC</t>
  </si>
  <si>
    <t>DotNet Foundation</t>
  </si>
  <si>
    <t>Tableau Software</t>
  </si>
  <si>
    <t>07/12/2024 at 02:56:02 UTC</t>
  </si>
  <si>
    <t>06/26/2024 at 16:14:52 UTC</t>
  </si>
  <si>
    <t>SmartBear Software</t>
  </si>
  <si>
    <t>02/02/2023 at 16:59:13 UTC</t>
  </si>
  <si>
    <t>Mozilla</t>
  </si>
  <si>
    <t>12/19/2024 at 15:06:54 UTC</t>
  </si>
  <si>
    <t>TIBCO</t>
  </si>
  <si>
    <t>05/23/2024 at 16:18:48 UTC</t>
  </si>
  <si>
    <t>11/02/2023 at 18:47:59 UTC</t>
  </si>
  <si>
    <t>10/16/2024 at 12:38:17 UTC</t>
  </si>
  <si>
    <t>10/07/2024 at 22:22:06 UTC</t>
  </si>
  <si>
    <t>Tungsten Automation</t>
  </si>
  <si>
    <t>07/19/2024 at 16:33:54 UTC</t>
  </si>
  <si>
    <t>UiPATH</t>
  </si>
  <si>
    <t>08/12/2024 at 15:25:18 UTC</t>
  </si>
  <si>
    <t>N/A</t>
  </si>
  <si>
    <t>11/15/2024 at 22:28:42 UTC</t>
  </si>
  <si>
    <t>10/14/2024 at 01:23:31 UTC</t>
  </si>
  <si>
    <t>Veeam Software</t>
  </si>
  <si>
    <t>12/19/2024 at 15:06:55 UTC</t>
  </si>
  <si>
    <t>Veritas</t>
  </si>
  <si>
    <t>12/28/2023 at 20:12:17 UTC</t>
  </si>
  <si>
    <t>08/19/2024 at 14:47:04 UTC</t>
  </si>
  <si>
    <t>VMware</t>
  </si>
  <si>
    <t>11/18/2024 at 14:26:44 UTC</t>
  </si>
  <si>
    <t>12/12/2023 at 14:17:18 UTC</t>
  </si>
  <si>
    <t>03/22/2023 at 16:47:07 UTC</t>
  </si>
  <si>
    <t>Stryker</t>
  </si>
  <si>
    <t>08/07/2024 at 15:52:39 UTC</t>
  </si>
  <si>
    <t>07/02/2024 at 20:03:31 UTC</t>
  </si>
  <si>
    <t>03/08/2023 at 04:43:36 UTC</t>
  </si>
  <si>
    <t>Software AG</t>
  </si>
  <si>
    <t>10/10/2022 at 20:11:48 UTC</t>
  </si>
  <si>
    <t>JetBrains</t>
  </si>
  <si>
    <t>06/18/2024 at 16:24:54 UTC</t>
  </si>
  <si>
    <t>11/30/2022 at 02:56:26 UTC</t>
  </si>
  <si>
    <t>YesLogic</t>
  </si>
  <si>
    <t>10/30/2024 at 15:25:02 UTC</t>
  </si>
  <si>
    <t>05/13/2024 at 16:17:10 UTC</t>
  </si>
  <si>
    <t>ZKTeco</t>
  </si>
  <si>
    <t>01/30/2024 at 00:16:32 UTC</t>
  </si>
  <si>
    <t>Acceo Solutions Inc.</t>
  </si>
  <si>
    <t>02/16/2024 at 17:19:47 UTC</t>
  </si>
  <si>
    <t>ActiGraph Corp.</t>
  </si>
  <si>
    <t>MESCIUS Inc.</t>
  </si>
  <si>
    <t>Famatech</t>
  </si>
  <si>
    <t>01/14/2020 at 21:20:26 UTC</t>
  </si>
  <si>
    <t>Advanced Solutions Life Sciences, LLC.</t>
  </si>
  <si>
    <t>04/01/2024 at 19:29:56 UTC</t>
  </si>
  <si>
    <t>s3tools.org</t>
  </si>
  <si>
    <t>05/24/2024 at 16:48:53 UTC</t>
  </si>
  <si>
    <t>ANSYS, Inc.</t>
  </si>
  <si>
    <t>12/09/2024 at 16:13:31 UTC</t>
  </si>
  <si>
    <t>03/26/2024 at 16:11:03 UTC</t>
  </si>
  <si>
    <t>Grason-Stadler, Inc.</t>
  </si>
  <si>
    <t>10/23/2023 at 19:48:44 UTC</t>
  </si>
  <si>
    <t>ACL Services Ltd.</t>
  </si>
  <si>
    <t>11/28/2023 at 19:44:20 UTC</t>
  </si>
  <si>
    <t>11/14/2024 at 18:51:15 UTC</t>
  </si>
  <si>
    <t>07/01/2024 at 14:13:57 UTC</t>
  </si>
  <si>
    <t>12/04/2024 at 16:23:30 UTC</t>
  </si>
  <si>
    <t>01/18/2024 at 17:16:56 UTC</t>
  </si>
  <si>
    <t>09/17/2024 at 16:21:51 UTC</t>
  </si>
  <si>
    <t>12/19/2024 at 15:06:41 UTC</t>
  </si>
  <si>
    <t>12/19/2024 at 15:06:40 UTC</t>
  </si>
  <si>
    <t>07/01/2024 at 14:13:56 UTC</t>
  </si>
  <si>
    <t>12/02/2024 at 22:22:17 UTC</t>
  </si>
  <si>
    <t>03/14/2024 at 16:03:52 UTC</t>
  </si>
  <si>
    <t>07/15/2024 at 19:06:13 UTC</t>
  </si>
  <si>
    <t>03/27/2024 at 02:56:35 UTC</t>
  </si>
  <si>
    <t>Mind Media B.V.</t>
  </si>
  <si>
    <t>12/13/2024 at 19:38:11 UTC</t>
  </si>
  <si>
    <t>BrainTrain, Inc.</t>
  </si>
  <si>
    <t>01/03/2024 at 04:39:54 UTC</t>
  </si>
  <si>
    <t>Robotics Technologies, Inc.</t>
  </si>
  <si>
    <t>04/04/2023 at 19:24:47 UTC</t>
  </si>
  <si>
    <t>Scientific &amp; Educational Software.</t>
  </si>
  <si>
    <t>11/26/2022 at 00:53:40 UTC</t>
  </si>
  <si>
    <t>Cloudflare Inc.</t>
  </si>
  <si>
    <t>HPC, Inc.</t>
  </si>
  <si>
    <t>10/31/2024 at 16:35:48 UTC</t>
  </si>
  <si>
    <t>Cogito Corp.</t>
  </si>
  <si>
    <t>06/21/2024 at 22:00:45 UTC</t>
  </si>
  <si>
    <t>Axis Maps LLC.</t>
  </si>
  <si>
    <t>02/14/2019 at 10:53:03 UTC</t>
  </si>
  <si>
    <t>Multi-Health Systems Inc.</t>
  </si>
  <si>
    <t>04/05/2023 at 00:57:25 UTC</t>
  </si>
  <si>
    <t>South River Technologies, Inc.</t>
  </si>
  <si>
    <t>04/10/2024 at 17:16:56 UTC</t>
  </si>
  <si>
    <t>Cucumber, Ltd.</t>
  </si>
  <si>
    <t>10/29/2024 at 19:18:17 UTC</t>
  </si>
  <si>
    <t>01/08/2025 at 18:20:27 UTC</t>
  </si>
  <si>
    <t>11/16/2023 at 14:10:22 UTC</t>
  </si>
  <si>
    <t>11/16/2023 at 14:10:23 UTC</t>
  </si>
  <si>
    <t>01/11/2024 at 17:00:51 UTC</t>
  </si>
  <si>
    <t>Dolphin Computer Access Ltd.</t>
  </si>
  <si>
    <t>04/01/2024 at 18:37:58 UTC</t>
  </si>
  <si>
    <t>Domo, Inc.</t>
  </si>
  <si>
    <t>12/16/2024 at 20:45:51 UTC</t>
  </si>
  <si>
    <t>dtSearch Corp.</t>
  </si>
  <si>
    <t>10/18/2024 at 18:03:17 UTC</t>
  </si>
  <si>
    <t>Visix, Inc.</t>
  </si>
  <si>
    <t>10/25/2024 at 15:59:06 UTC</t>
  </si>
  <si>
    <t>10/25/2024 at 15:59:07 UTC</t>
  </si>
  <si>
    <t>Empatica, Inc.</t>
  </si>
  <si>
    <t>Diverse Computing, Inc.</t>
  </si>
  <si>
    <t>12/09/2022 at 20:10:00 UTC</t>
  </si>
  <si>
    <t>ndd Medical Technologies, Inc.</t>
  </si>
  <si>
    <t>11/30/2022 at 02:56:30 UTC</t>
  </si>
  <si>
    <t>09/26/2022 at 02:04:22 UTC</t>
  </si>
  <si>
    <t>Corsair Gaming, Inc.</t>
  </si>
  <si>
    <t>11/15/2023 at 19:03:07 UTC</t>
  </si>
  <si>
    <t>Dent Instruments, Inc.</t>
  </si>
  <si>
    <t>12/21/2023 at 21:23:22 UTC</t>
  </si>
  <si>
    <t>11/21/2024 at 23:32:34 UTC</t>
  </si>
  <si>
    <t>Multivariate Software, Inc.</t>
  </si>
  <si>
    <t>08/31/2022 at 02:18:57 UTC</t>
  </si>
  <si>
    <t>12/12/2023 at 12:52:42 UTC</t>
  </si>
  <si>
    <t>PrestoSoft LLC.</t>
  </si>
  <si>
    <t>11/08/2024 at 02:03:32 UTC</t>
  </si>
  <si>
    <t>ExpanDrive, Inc.</t>
  </si>
  <si>
    <t>12/09/2024 at 16:13:33 UTC</t>
  </si>
  <si>
    <t>04/04/2024 at 15:40:31 UTC</t>
  </si>
  <si>
    <t>09/26/2024 at 17:51:24 UTC</t>
  </si>
  <si>
    <t>09/27/2024 at 16:28:39 UTC</t>
  </si>
  <si>
    <t>09/26/2024 at 17:51:25 UTC</t>
  </si>
  <si>
    <t>09/12/2024 at 16:25:05 UTC</t>
  </si>
  <si>
    <t>DeltaTrak Inc.</t>
  </si>
  <si>
    <t>01/07/2025 at 01:25:00 UTC</t>
  </si>
  <si>
    <t>FlexSim Software Products, Inc.</t>
  </si>
  <si>
    <t>08/29/2024 at 15:54:42 UTC</t>
  </si>
  <si>
    <t>Treasure Data, Inc.</t>
  </si>
  <si>
    <t>10/16/2023 at 16:24:25 UTC</t>
  </si>
  <si>
    <t>12/19/2023 at 19:14:32 UTC</t>
  </si>
  <si>
    <t>GitLab Inc.</t>
  </si>
  <si>
    <t>12/20/2024 at 22:31:46 UTC</t>
  </si>
  <si>
    <t>Optum, Inc.</t>
  </si>
  <si>
    <t>09/27/2024 at 15:50:04 UTC</t>
  </si>
  <si>
    <t>GnuPG.org</t>
  </si>
  <si>
    <t>12/21/2023 at 12:33:37 UTC</t>
  </si>
  <si>
    <t>08/02/2024 at 19:01:14 UTC</t>
  </si>
  <si>
    <t>HP Inc.</t>
  </si>
  <si>
    <t>ISO</t>
  </si>
  <si>
    <t>10/18/2024 at 18:03:55 UTC</t>
  </si>
  <si>
    <t>Intelligent Medical Objects, Inc.</t>
  </si>
  <si>
    <t>01/08/2024 at 02:39:46 UTC</t>
  </si>
  <si>
    <t>07/01/2024 at 14:13:54 UTC</t>
  </si>
  <si>
    <t>iText Group NV, iText Software Corp., iText Software BVBA</t>
  </si>
  <si>
    <t>05/22/2024 at 16:13:51 UTC</t>
  </si>
  <si>
    <t>Auth0, Inc.</t>
  </si>
  <si>
    <t>03/11/2024 at 14:14:39 UTC</t>
  </si>
  <si>
    <t>02/22/2024 at 03:38:31 UTC</t>
  </si>
  <si>
    <t>Graphic Products, Inc.</t>
  </si>
  <si>
    <t>04/10/2024 at 17:17:01 UTC</t>
  </si>
  <si>
    <t>Laravel Holdings Inc.</t>
  </si>
  <si>
    <t>04/10/2024 at 17:36:41 UTC</t>
  </si>
  <si>
    <t>Leightronix, Inc.</t>
  </si>
  <si>
    <t>03/27/2024 at 02:56:30 UTC</t>
  </si>
  <si>
    <t>libreoffice.org</t>
  </si>
  <si>
    <t>02/07/2024 at 17:47:50 UTC</t>
  </si>
  <si>
    <t>National Institute for Occupational Safety and Health (NIOSH)</t>
  </si>
  <si>
    <t>09/27/2024 at 16:28:40 UTC</t>
  </si>
  <si>
    <t>Pennebaker Conglomerates, Inc.</t>
  </si>
  <si>
    <t>10/07/2024 at 22:22:09 UTC</t>
  </si>
  <si>
    <t>DxSoft, Inc.</t>
  </si>
  <si>
    <t>09/10/2024 at 15:00:19 UTC</t>
  </si>
  <si>
    <t>Ludlum Measurements, Inc.</t>
  </si>
  <si>
    <t>Roy Matheson and Associates Inc.</t>
  </si>
  <si>
    <t>03/01/2024 at 18:24:47 UTC</t>
  </si>
  <si>
    <t>Mendeley Ltd.</t>
  </si>
  <si>
    <t>06/18/2024 at 21:36:03 UTC</t>
  </si>
  <si>
    <t>12/13/2024 at 19:36:27 UTC</t>
  </si>
  <si>
    <t>10/16/2024 at 13:10:15 UTC</t>
  </si>
  <si>
    <t>MIM Software Inc.</t>
  </si>
  <si>
    <t>10/26/2023 at 19:18:37 UTC</t>
  </si>
  <si>
    <t>10/25/2024 at 15:59:11 UTC</t>
  </si>
  <si>
    <t>Matchware, Inc.</t>
  </si>
  <si>
    <t>04/23/2024 at 01:42:37 UTC</t>
  </si>
  <si>
    <t>02/15/2024 at 23:27:36 UTC</t>
  </si>
  <si>
    <t>11/08/2024 at 02:03:29 UTC</t>
  </si>
  <si>
    <t>02/12/2024 at 20:36:42 UTC</t>
  </si>
  <si>
    <t>Valeri Karpov</t>
  </si>
  <si>
    <t>12/09/2022 at 20:11:02 UTC</t>
  </si>
  <si>
    <t>MouthWatch, LLC.</t>
  </si>
  <si>
    <t>02/14/2024 at 22:42:52 UTC</t>
  </si>
  <si>
    <t>APDM Wearable Technologies Inc.</t>
  </si>
  <si>
    <t>05/06/2024 at 17:36:21 UTC</t>
  </si>
  <si>
    <t>06/07/2024 at 18:33:11 UTC</t>
  </si>
  <si>
    <t>Norsys Software Corp.</t>
  </si>
  <si>
    <t>04/10/2024 at 17:17:12 UTC</t>
  </si>
  <si>
    <t>Neurobehavioral Systems, Inc.</t>
  </si>
  <si>
    <t>09/13/2022 at 18:11:39 UTC</t>
  </si>
  <si>
    <t>Nginx, Inc.</t>
  </si>
  <si>
    <t>06/13/2024 at 20:25:22 UTC</t>
  </si>
  <si>
    <t>Circassia Ltd.</t>
  </si>
  <si>
    <t>10/07/2024 at 22:23:06 UTC</t>
  </si>
  <si>
    <t>10/07/2024 at 22:23:07 UTC</t>
  </si>
  <si>
    <t>04/23/2024 at 01:42:39 UTC</t>
  </si>
  <si>
    <t>Onco, Inc.</t>
  </si>
  <si>
    <t>Computer Projects of Illinois, Inc.</t>
  </si>
  <si>
    <t>06/21/2024 at 02:48:48 UTC</t>
  </si>
  <si>
    <t>NotePage, Inc.</t>
  </si>
  <si>
    <t>12/20/2024 at 21:29:09 UTC</t>
  </si>
  <si>
    <t>12/12/2023 at 13:01:48 UTC</t>
  </si>
  <si>
    <t>12/06/2022 at 02:46:46 UTC</t>
  </si>
  <si>
    <t>Intelligent Editing Ltd.</t>
  </si>
  <si>
    <t>07/19/2024 at 16:33:58 UTC</t>
  </si>
  <si>
    <t>Exit Games, Inc.</t>
  </si>
  <si>
    <t>08/27/2024 at 02:03:06 UTC</t>
  </si>
  <si>
    <t>01/30/2024 at 00:09:48 UTC</t>
  </si>
  <si>
    <t>Procore Technologies, Inc.</t>
  </si>
  <si>
    <t>12/02/2024 at 22:22:19 UTC</t>
  </si>
  <si>
    <t>Proctorio Inc.</t>
  </si>
  <si>
    <t>04/04/2023 at 02:07:21 UTC</t>
  </si>
  <si>
    <t>Meta</t>
  </si>
  <si>
    <t>11/20/2024 at 14:40:30 UTC</t>
  </si>
  <si>
    <t>Idea Spectrum Inc.</t>
  </si>
  <si>
    <t>11/20/2024 at 14:40:28 UTC</t>
  </si>
  <si>
    <t>Gravis, Inc.</t>
  </si>
  <si>
    <t>06/21/2024 at 02:48:49 UTC</t>
  </si>
  <si>
    <t>12/12/2022 at 03:47:26 UTC</t>
  </si>
  <si>
    <t>03/01/2024 at 02:18:28 UTC</t>
  </si>
  <si>
    <t>07/29/2024 at 14:48:41 UTC</t>
  </si>
  <si>
    <t>11/30/2022 at 02:56:29 UTC</t>
  </si>
  <si>
    <t>12/12/2022 at 03:45:08 UTC</t>
  </si>
  <si>
    <t>Laxco, Inc.</t>
  </si>
  <si>
    <t>11/08/2024 at 02:03:21 UTC</t>
  </si>
  <si>
    <t>Serengeti Systems Inc.</t>
  </si>
  <si>
    <t>05/07/2024 at 03:25:25 UTC</t>
  </si>
  <si>
    <t>Shure Inc.</t>
  </si>
  <si>
    <t>09/28/2023 at 15:36:22 UTC</t>
  </si>
  <si>
    <t>The MathWorks, Inc.</t>
  </si>
  <si>
    <t>05/01/2023 at 02:06:36 UTC</t>
  </si>
  <si>
    <t>Automattic, Inc.</t>
  </si>
  <si>
    <t>01/30/2024 at 01:11:24 UTC</t>
  </si>
  <si>
    <t>Pinnacle Technology, Inc.</t>
  </si>
  <si>
    <t>12/07/2023 at 18:12:22 UTC</t>
  </si>
  <si>
    <t>12/14/2022 at 23:23:01 UTC</t>
  </si>
  <si>
    <t>Tandem Diabetes Care, Inc.</t>
  </si>
  <si>
    <t>10/24/2023 at 01:34:32 UTC</t>
  </si>
  <si>
    <t>Trisys, Inc.</t>
  </si>
  <si>
    <t>01/18/2024 at 02:53:33 UTC</t>
  </si>
  <si>
    <t>10/19/2023 at 17:58:06 UTC</t>
  </si>
  <si>
    <t>Ecliptic Technologies, Inc.</t>
  </si>
  <si>
    <t>02/02/2024 at 03:13:43 UTC</t>
  </si>
  <si>
    <t>07/01/2024 at 15:53:19 UTC</t>
  </si>
  <si>
    <t>12/01/2023 at 17:53:04 UTC</t>
  </si>
  <si>
    <t>08/27/2024 at 02:02:40 UTC</t>
  </si>
  <si>
    <t>10/12/2022 at 17:42:22 UTC</t>
  </si>
  <si>
    <t>Visual Awareness Research Group, Inc.</t>
  </si>
  <si>
    <t>11/02/2023 at 16:16:00 UTC</t>
  </si>
  <si>
    <t>StudioCoast Pty Ltd.</t>
  </si>
  <si>
    <t>09/16/2024 at 14:58:54 UTC</t>
  </si>
  <si>
    <t>Cobra Systems Inc.</t>
  </si>
  <si>
    <t>Rochester Software Associates, Inc.</t>
  </si>
  <si>
    <t>10/18/2024 at 18:16:20 UTC</t>
  </si>
  <si>
    <t>RadView Software Ltd.</t>
  </si>
  <si>
    <t>08/29/2024 at 15:54:53 UTC</t>
  </si>
  <si>
    <t>DSX Access Systems, Inc.</t>
  </si>
  <si>
    <t>03/11/2024 at 14:14:36 UTC</t>
  </si>
  <si>
    <t>Critical Tools, Inc.</t>
  </si>
  <si>
    <t>xMatters, Inc.</t>
  </si>
  <si>
    <t>06/09/2020 at 14:35:52 UTC</t>
  </si>
  <si>
    <t>RS2 Tech</t>
  </si>
  <si>
    <t>10/31/2024 at 16:35:59 UTC</t>
  </si>
  <si>
    <t>09/28/2022 at 01:40:48 UTC</t>
  </si>
  <si>
    <t>American Printing House for the Blind, Inc.</t>
  </si>
  <si>
    <t>11/02/2022 at 04:10:20 UTC</t>
  </si>
  <si>
    <t>Arcturus Technologies, Inc.</t>
  </si>
  <si>
    <t>08/29/2022 at 15:29:23 UTC</t>
  </si>
  <si>
    <t>05/13/2024 at 16:17:15 UTC</t>
  </si>
  <si>
    <t>ATMOS MedizinTechnik GmbH &amp; Co. KG</t>
  </si>
  <si>
    <t>Luminant Software, Inc.</t>
  </si>
  <si>
    <t>02/02/2024 at 03:13:41 UTC</t>
  </si>
  <si>
    <t>06/27/2019 at 12:47:41 UTC</t>
  </si>
  <si>
    <t>Avast Software s.r.o</t>
  </si>
  <si>
    <t>12/20/2023 at 19:17:36 UTC</t>
  </si>
  <si>
    <t>Blue Sky Bio, LLC.</t>
  </si>
  <si>
    <t>RJL Systems, Inc.</t>
  </si>
  <si>
    <t>Kool Toolz, Inc.</t>
  </si>
  <si>
    <t>Nathaniel V. Kelso</t>
  </si>
  <si>
    <t>02/09/2021 at 20:35:16 UTC</t>
  </si>
  <si>
    <t>Complion, Inc.</t>
  </si>
  <si>
    <t>04/07/2020 at 08:22:01 UTC</t>
  </si>
  <si>
    <t>Digital Art Zone (DAZ) 3D Inc.</t>
  </si>
  <si>
    <t>09/21/2022 at 02:04:02 UTC</t>
  </si>
  <si>
    <t>04/16/2019 at 08:02:57 UTC</t>
  </si>
  <si>
    <t>Duxbury Systems, Inc.</t>
  </si>
  <si>
    <t>03/19/2024 at 00:47:25 UTC</t>
  </si>
  <si>
    <t>Image Stream Medical, Inc.</t>
  </si>
  <si>
    <t>10/26/2020 at 08:21:08 UTC</t>
  </si>
  <si>
    <t>Epic, Inc.</t>
  </si>
  <si>
    <t>10/17/2018 at 13:07:47 UTC</t>
  </si>
  <si>
    <t>FitNesse.org</t>
  </si>
  <si>
    <t>04/09/2019 at 13:54:27 UTC</t>
  </si>
  <si>
    <t>Pleiades Software Development, Inc.</t>
  </si>
  <si>
    <t>06/25/2020 at 12:10:36 UTC</t>
  </si>
  <si>
    <t>Ghotit ltd.</t>
  </si>
  <si>
    <t>Care Innovations, LLC.</t>
  </si>
  <si>
    <t>04/09/2019 at 21:30:07 UTC</t>
  </si>
  <si>
    <t>Hioki E.E. Corporation</t>
  </si>
  <si>
    <t>04/19/2024 at 03:49:20 UTC</t>
  </si>
  <si>
    <t>Titan Cloud Software</t>
  </si>
  <si>
    <t>07/19/2024 at 16:33:46 UTC</t>
  </si>
  <si>
    <t>Mirion Technologies, Inc.</t>
  </si>
  <si>
    <t>03/11/2024 at 14:14:38 UTC</t>
  </si>
  <si>
    <t>Intelicode</t>
  </si>
  <si>
    <t>12/07/2023 at 18:12:23 UTC</t>
  </si>
  <si>
    <t>KaVoom Software Inc.</t>
  </si>
  <si>
    <t>10/27/2022 at 16:48:59 UTC</t>
  </si>
  <si>
    <t>Koa.js</t>
  </si>
  <si>
    <t>12/06/2022 at 02:47:00 UTC</t>
  </si>
  <si>
    <t>05/08/2024 at 13:47:53 UTC</t>
  </si>
  <si>
    <t>05/08/2024 at 13:48:00 UTC</t>
  </si>
  <si>
    <t>09/16/2020 at 11:56:52 UTC</t>
  </si>
  <si>
    <t>Notepad++.org</t>
  </si>
  <si>
    <t>09/22/2023 at 14:26:43 UTC</t>
  </si>
  <si>
    <t>Checkpoint Systems, Inc.</t>
  </si>
  <si>
    <t>11/04/2022 at 01:37:22 UTC</t>
  </si>
  <si>
    <t>Andrew J. Mason</t>
  </si>
  <si>
    <t>11/04/2022 at 01:37:23 UTC</t>
  </si>
  <si>
    <t>07/15/2021 at 20:01:21 UTC</t>
  </si>
  <si>
    <t>Laplink Software, Inc.</t>
  </si>
  <si>
    <t>06/18/2024 at 16:25:01 UTC</t>
  </si>
  <si>
    <t>Peel-3D</t>
  </si>
  <si>
    <t>11/18/2024 at 14:26:45 UTC</t>
  </si>
  <si>
    <t>05/13/2024 at 16:17:12 UTC</t>
  </si>
  <si>
    <t>Dr. Martin E. Wendelken</t>
  </si>
  <si>
    <t>10/23/2018 at 21:58:14 UTC</t>
  </si>
  <si>
    <t>Imagine Products, Inc.</t>
  </si>
  <si>
    <t>05/09/2024 at 19:08:25 UTC</t>
  </si>
  <si>
    <t>PrctorU Inc.</t>
  </si>
  <si>
    <t>10/14/2024 at 01:22:57 UTC</t>
  </si>
  <si>
    <t>06/27/2019 at 12:47:46 UTC</t>
  </si>
  <si>
    <t>npm, Inc.</t>
  </si>
  <si>
    <t>02/23/2024 at 14:30:45 UTC</t>
  </si>
  <si>
    <t>Siemens</t>
  </si>
  <si>
    <t>10/02/2024 at 21:47:30 UTC</t>
  </si>
  <si>
    <t>NetSDK Software, Inc.</t>
  </si>
  <si>
    <t>06/05/2020 at 00:36:58 UTC</t>
  </si>
  <si>
    <t>Statpoint Technologies, Inc.</t>
  </si>
  <si>
    <t>02/09/2023 at 03:34:25 UTC</t>
  </si>
  <si>
    <t>03/13/2023 at 16:47:48 UTC</t>
  </si>
  <si>
    <t>turbo.net</t>
  </si>
  <si>
    <t>02/04/2021 at 14:19:22 UTC</t>
  </si>
  <si>
    <t>09/16/2020 at 12:14:21 UTC</t>
  </si>
  <si>
    <t>04/15/2021 at 14:41:44 UTC</t>
  </si>
  <si>
    <t>AVPSoft.com</t>
  </si>
  <si>
    <t>02/27/2019 at 08:09:55 UTC</t>
  </si>
  <si>
    <t>WordPress.org</t>
  </si>
  <si>
    <t>01/17/2023 at 17:42:14 UTC</t>
  </si>
  <si>
    <t>04/01/2021 at 08:06:28 UTC</t>
  </si>
  <si>
    <t>Micjahn- Michael Jahn</t>
  </si>
  <si>
    <t>10/30/2024 at 15:24:59 UTC</t>
  </si>
  <si>
    <t>Deltek</t>
  </si>
  <si>
    <t>09/19/2024 at 17:25:09 UTC</t>
  </si>
  <si>
    <t>Nuance</t>
  </si>
  <si>
    <t>07/12/2019 at 13:42:05 UTC</t>
  </si>
  <si>
    <t>W3C</t>
  </si>
  <si>
    <t>12/12/2023 at 12:16:34 UTC</t>
  </si>
  <si>
    <t>Flux Software LLC</t>
  </si>
  <si>
    <t>01/09/2024 at 23:55:43 UTC</t>
  </si>
  <si>
    <t>03/08/2019 at 12:32:16 UTC</t>
  </si>
  <si>
    <t>James Saryerwinnie</t>
  </si>
  <si>
    <t>Eye Care Leaders</t>
  </si>
  <si>
    <t>07/01/2024 at 15:53:20 UTC</t>
  </si>
  <si>
    <t>Medtronic</t>
  </si>
  <si>
    <t>11/08/2024 at 02:03:20 UTC</t>
  </si>
  <si>
    <t>ReportAll</t>
  </si>
  <si>
    <t>07/19/2024 at 16:33:52 UTC</t>
  </si>
  <si>
    <t>12/26/2023 at 22:06:13 UTC</t>
  </si>
  <si>
    <t>QGIS User Group</t>
  </si>
  <si>
    <t>12/27/2024 at 23:58:32 UTC</t>
  </si>
  <si>
    <t>Rimage</t>
  </si>
  <si>
    <t>12/19/2024 at 15:06:45 UTC</t>
  </si>
  <si>
    <t>NIH</t>
  </si>
  <si>
    <t>04/18/2019 at 11:10:04 UTC</t>
  </si>
  <si>
    <t>Eberhard Beilharz</t>
  </si>
  <si>
    <t>12/06/2022 at 02:46:57 UTC</t>
  </si>
  <si>
    <t>Sennheiser</t>
  </si>
  <si>
    <t>Citrix</t>
  </si>
  <si>
    <t>01/03/2024 at 04:39:48 UTC</t>
  </si>
  <si>
    <t>Mads Kristensen</t>
  </si>
  <si>
    <t>06/18/2024 at 16:24:56 UTC</t>
  </si>
  <si>
    <t>12/12/2023 at 13:01:49 UTC</t>
  </si>
  <si>
    <t>MEI Systems Inc.</t>
  </si>
  <si>
    <t>10/20/2022 at 14:00:01 UTC</t>
  </si>
  <si>
    <t>ABBYY</t>
  </si>
  <si>
    <t>12/19/2023 at 19:14:31 UTC</t>
  </si>
  <si>
    <t>Cliniworks</t>
  </si>
  <si>
    <t>09/08/2022 at 21:00:47 UTC</t>
  </si>
  <si>
    <t>03/01/2023 at 22:30:34 UTC</t>
  </si>
  <si>
    <t>Level Access</t>
  </si>
  <si>
    <t>12/04/2024 at 19:12:00 UTC</t>
  </si>
  <si>
    <t>Roche Diagnostics</t>
  </si>
  <si>
    <t>07/31/2024 at 16:43:47 UTC</t>
  </si>
  <si>
    <t>Plus Health Care Systems, Inc.</t>
  </si>
  <si>
    <t>04/29/2024 at 16:45:43 UTC</t>
  </si>
  <si>
    <t>SunTech Medical, Inc.</t>
  </si>
  <si>
    <t>12/13/2024 at 19:39:16 UTC</t>
  </si>
  <si>
    <t>Acqueon Technologies Inc.</t>
  </si>
  <si>
    <t>01/06/2023 at 00:34:12 UTC</t>
  </si>
  <si>
    <t>12/09/2024 at 16:13:30 UTC</t>
  </si>
  <si>
    <t>Nutanix</t>
  </si>
  <si>
    <t>01/18/2024 at 02:49:46 UTC</t>
  </si>
  <si>
    <t>01/11/2024 at 17:00:46 UTC</t>
  </si>
  <si>
    <t>Aperta Ltd.</t>
  </si>
  <si>
    <t>07/01/2024 at 14:13:55 UTC</t>
  </si>
  <si>
    <t>Hyland Healthcare</t>
  </si>
  <si>
    <t>07/19/2024 at 02:55:00 UTC</t>
  </si>
  <si>
    <t>Ruhof</t>
  </si>
  <si>
    <t>08/02/2024 at 19:01:16 UTC</t>
  </si>
  <si>
    <t>Flexera Software</t>
  </si>
  <si>
    <t>05/23/2024 at 16:18:51 UTC</t>
  </si>
  <si>
    <t>01/02/2025 at 19:25:02 UTC</t>
  </si>
  <si>
    <t>10/26/2023 at 19:18:31 UTC</t>
  </si>
  <si>
    <t>CareDx Inc.</t>
  </si>
  <si>
    <t>Altair</t>
  </si>
  <si>
    <t>01/08/2025 at 18:20:25 UTC</t>
  </si>
  <si>
    <t>01/11/2023 at 18:22:28 UTC</t>
  </si>
  <si>
    <t>06/03/2024 at 16:54:57 UTC</t>
  </si>
  <si>
    <t>Alvaria</t>
  </si>
  <si>
    <t>12/19/2024 at 22:32:13 UTC</t>
  </si>
  <si>
    <t>12/06/2022 at 02:46:33 UTC</t>
  </si>
  <si>
    <t>Anaconda</t>
  </si>
  <si>
    <t>04/08/2024 at 14:58:01 UTC</t>
  </si>
  <si>
    <t>02/24/2023 at 03:36:08 UTC</t>
  </si>
  <si>
    <t>Apache</t>
  </si>
  <si>
    <t>11/30/2023 at 17:15:45 UTC</t>
  </si>
  <si>
    <t>08/10/2022 at 17:33:10 UTC</t>
  </si>
  <si>
    <t>02/16/2024 at 17:19:49 UTC</t>
  </si>
  <si>
    <t>02/28/2023 at 03:24:30 UTC</t>
  </si>
  <si>
    <t>08/27/2024 at 02:02:59 UTC</t>
  </si>
  <si>
    <t>APLNow</t>
  </si>
  <si>
    <t>06/18/2024 at 21:35:38 UTC</t>
  </si>
  <si>
    <t>Apollo Digital Paging Company</t>
  </si>
  <si>
    <t>09/27/2024 at 16:28:38 UTC</t>
  </si>
  <si>
    <t>11/20/2023 at 13:27:46 UTC</t>
  </si>
  <si>
    <t>07/19/2024 at 02:54:50 UTC</t>
  </si>
  <si>
    <t>03/13/2024 at 17:14:05 UTC</t>
  </si>
  <si>
    <t>02/23/2024 at 14:30:46 UTC</t>
  </si>
  <si>
    <t>Varian Medical Systems</t>
  </si>
  <si>
    <t>11/14/2024 at 18:51:23 UTC</t>
  </si>
  <si>
    <t>ASCX12</t>
  </si>
  <si>
    <t>04/07/2019 at 21:08:01 UTC</t>
  </si>
  <si>
    <t>04/07/2019 at 21:08:00 UTC</t>
  </si>
  <si>
    <t>04/07/2019 at 21:07:52 UTC</t>
  </si>
  <si>
    <t>12/26/2024 at 22:35:49 UTC</t>
  </si>
  <si>
    <t>InfinID Technologies, Inc.</t>
  </si>
  <si>
    <t>12/22/2023 at 20:35:45 UTC</t>
  </si>
  <si>
    <t>Dentsply Implants</t>
  </si>
  <si>
    <t>04/29/2024 at 16:45:44 UTC</t>
  </si>
  <si>
    <t>01/24/2024 at 03:40:50 UTC</t>
  </si>
  <si>
    <t>05/24/2024 at 16:48:52 UTC</t>
  </si>
  <si>
    <t>Distributed Solutions, Inc.</t>
  </si>
  <si>
    <t>07/19/2024 at 16:34:05 UTC</t>
  </si>
  <si>
    <t>Observational Health Data Sciences &amp; Informatics (OHDSI)</t>
  </si>
  <si>
    <t>08/04/2022 at 17:32:00 UTC</t>
  </si>
  <si>
    <t>Grason-Stadler</t>
  </si>
  <si>
    <t>01/02/2025 at 15:43:47 UTC</t>
  </si>
  <si>
    <t>03/08/2023 at 04:43:37 UTC</t>
  </si>
  <si>
    <t>12/14/2022 at 23:23:02 UTC</t>
  </si>
  <si>
    <t>03/13/2023 at 16:47:57 UTC</t>
  </si>
  <si>
    <t>04/30/2024 at 17:14:33 UTC</t>
  </si>
  <si>
    <t>10/30/2024 at 15:24:52 UTC</t>
  </si>
  <si>
    <t>Aveva</t>
  </si>
  <si>
    <t>06/21/2024 at 02:48:54 UTC</t>
  </si>
  <si>
    <t>Deque Systems</t>
  </si>
  <si>
    <t>06/06/2024 at 16:17:52 UTC</t>
  </si>
  <si>
    <t>Axon</t>
  </si>
  <si>
    <t>05/20/2024 at 17:25:10 UTC</t>
  </si>
  <si>
    <t>08/14/2024 at 18:01:42 UTC</t>
  </si>
  <si>
    <t>03/13/2024 at 17:14:11 UTC</t>
  </si>
  <si>
    <t>03/16/2023 at 03:46:41 UTC</t>
  </si>
  <si>
    <t>12/13/2024 at 19:39:17 UTC</t>
  </si>
  <si>
    <t>Spotify Technology SA</t>
  </si>
  <si>
    <t>10/17/2024 at 13:15:46 UTC</t>
  </si>
  <si>
    <t>05/24/2024 at 16:48:57 UTC</t>
  </si>
  <si>
    <t>Cochlear</t>
  </si>
  <si>
    <t>01/17/2024 at 19:24:39 UTC</t>
  </si>
  <si>
    <t>Balance Tracking Systems</t>
  </si>
  <si>
    <t>04/04/2023 at 02:07:17 UTC</t>
  </si>
  <si>
    <t>Seagull Scientific</t>
  </si>
  <si>
    <t>04/24/2024 at 18:28:03 UTC</t>
  </si>
  <si>
    <t>Becton, Dickinson and Company</t>
  </si>
  <si>
    <t>02/02/2023 at 18:46:40 UTC</t>
  </si>
  <si>
    <t>PAR Inc.</t>
  </si>
  <si>
    <t>02/02/2024 at 03:13:45 UTC</t>
  </si>
  <si>
    <t>01/22/2024 at 02:13:13 UTC</t>
  </si>
  <si>
    <t>02/06/2024 at 02:01:09 UTC</t>
  </si>
  <si>
    <t>Cyber Armed</t>
  </si>
  <si>
    <t>01/03/2025 at 16:17:50 UTC</t>
  </si>
  <si>
    <t>ec2 Software Solutions</t>
  </si>
  <si>
    <t>Thought Technology Ltd</t>
  </si>
  <si>
    <t>06/18/2024 at 16:24:53 UTC</t>
  </si>
  <si>
    <t>Advarra</t>
  </si>
  <si>
    <t>01/17/2023 at 17:42:16 UTC</t>
  </si>
  <si>
    <t>BlackBerry</t>
  </si>
  <si>
    <t>11/18/2024 at 14:26:41 UTC</t>
  </si>
  <si>
    <t>SS&amp;C Technologies, Inc</t>
  </si>
  <si>
    <t>05/01/2024 at 19:32:13 UTC</t>
  </si>
  <si>
    <t>09/19/2024 at 17:25:11 UTC</t>
  </si>
  <si>
    <t>11/28/2023 at 19:44:25 UTC</t>
  </si>
  <si>
    <t>04/16/2024 at 15:23:32 UTC</t>
  </si>
  <si>
    <t>11/06/2024 at 02:07:34 UTC</t>
  </si>
  <si>
    <t>08/16/2024 at 18:06:50 UTC</t>
  </si>
  <si>
    <t>Vista Medical LTD.</t>
  </si>
  <si>
    <t>Bosch</t>
  </si>
  <si>
    <t>Brady Corporation</t>
  </si>
  <si>
    <t>BrainLab</t>
  </si>
  <si>
    <t>MGC Diagnostics</t>
  </si>
  <si>
    <t>08/29/2024 at 15:54:51 UTC</t>
  </si>
  <si>
    <t>Brief cam</t>
  </si>
  <si>
    <t>10/31/2024 at 16:35:54 UTC</t>
  </si>
  <si>
    <t>BroadView Software Inc.</t>
  </si>
  <si>
    <t>01/11/2024 at 17:00:50 UTC</t>
  </si>
  <si>
    <t>B + S</t>
  </si>
  <si>
    <t>06/03/2024 at 19:06:12 UTC</t>
  </si>
  <si>
    <t>12/05/2022 at 17:52:52 UTC</t>
  </si>
  <si>
    <t>Unisys</t>
  </si>
  <si>
    <t>09/19/2024 at 17:25:12 UTC</t>
  </si>
  <si>
    <t>Vitria</t>
  </si>
  <si>
    <t>12/13/2024 at 19:36:30 UTC</t>
  </si>
  <si>
    <t>Keyence Corp.</t>
  </si>
  <si>
    <t>01/08/2024 at 17:49:50 UTC</t>
  </si>
  <si>
    <t>01/08/2024 at 17:49:52 UTC</t>
  </si>
  <si>
    <t>12/10/2024 at 18:07:38 UTC</t>
  </si>
  <si>
    <t>11/15/2022 at 13:31:32 UTC</t>
  </si>
  <si>
    <t>Cadwell Industries</t>
  </si>
  <si>
    <t>10/28/2023 at 03:30:59 UTC</t>
  </si>
  <si>
    <t>Canva</t>
  </si>
  <si>
    <t>01/02/2025 at 19:25:03 UTC</t>
  </si>
  <si>
    <t>11/02/2023 at 18:47:55 UTC</t>
  </si>
  <si>
    <t>Engineered Care, Inc.</t>
  </si>
  <si>
    <t>01/07/2025 at 01:24:53 UTC</t>
  </si>
  <si>
    <t>Bardsoftware</t>
  </si>
  <si>
    <t>04/19/2024 at 03:49:14 UTC</t>
  </si>
  <si>
    <t>Cellavision</t>
  </si>
  <si>
    <t>04/16/2024 at 15:43:01 UTC</t>
  </si>
  <si>
    <t>Celonis</t>
  </si>
  <si>
    <t>10/02/2024 at 19:24:27 UTC</t>
  </si>
  <si>
    <t>CenTrak</t>
  </si>
  <si>
    <t>05/06/2024 at 17:36:25 UTC</t>
  </si>
  <si>
    <t>04/04/2023 at 02:07:15 UTC</t>
  </si>
  <si>
    <t>09/12/2024 at 16:58:22 UTC</t>
  </si>
  <si>
    <t>Ceribell</t>
  </si>
  <si>
    <t>10/31/2024 at 16:35:43 UTC</t>
  </si>
  <si>
    <t>Cerner Corporation</t>
  </si>
  <si>
    <t>10/25/2022 at 00:16:05 UTC</t>
  </si>
  <si>
    <t>Change Healthcare</t>
  </si>
  <si>
    <t>02/21/2023 at 19:00:02 UTC</t>
  </si>
  <si>
    <t>Brigham and Women`s Hospital (BWH)</t>
  </si>
  <si>
    <t>07/29/2024 at 14:48:43 UTC</t>
  </si>
  <si>
    <t>Chocolatey</t>
  </si>
  <si>
    <t>05/24/2024 at 16:48:46 UTC</t>
  </si>
  <si>
    <t>08/15/2024 at 17:13:03 UTC</t>
  </si>
  <si>
    <t>03/08/2024 at 03:13:18 UTC</t>
  </si>
  <si>
    <t>11/17/2023 at 03:57:58 UTC</t>
  </si>
  <si>
    <t>12/04/2024 at 19:12:01 UTC</t>
  </si>
  <si>
    <t>University of Texas Health Science Center</t>
  </si>
  <si>
    <t>01/30/2024 at 01:08:00 UTC</t>
  </si>
  <si>
    <t>KaVo Kerr</t>
  </si>
  <si>
    <t>05/16/2024 at 15:53:22 UTC</t>
  </si>
  <si>
    <t>09/26/2024 at 17:51:03 UTC</t>
  </si>
  <si>
    <t>Cloudera</t>
  </si>
  <si>
    <t>12/20/2024 at 22:31:44 UTC</t>
  </si>
  <si>
    <t>04/10/2024 at 17:36:40 UTC</t>
  </si>
  <si>
    <t>Institute for Human &amp; Machine Cognition (IHMC)</t>
  </si>
  <si>
    <t>12/26/2023 at 22:06:12 UTC</t>
  </si>
  <si>
    <t>COBOL-IT</t>
  </si>
  <si>
    <t>01/16/2024 at 21:05:39 UTC</t>
  </si>
  <si>
    <t>Cockpit</t>
  </si>
  <si>
    <t>03/13/2024 at 17:14:26 UTC</t>
  </si>
  <si>
    <t>3M</t>
  </si>
  <si>
    <t>02/14/2024 at 03:14:53 UTC</t>
  </si>
  <si>
    <t>Cogstate LTD.</t>
  </si>
  <si>
    <t>12/14/2023 at 13:36:52 UTC</t>
  </si>
  <si>
    <t>Cohesity</t>
  </si>
  <si>
    <t>12/13/2024 at 19:39:19 UTC</t>
  </si>
  <si>
    <t>Actionable Intelligence Technologies, Inc.</t>
  </si>
  <si>
    <t>11/08/2024 at 02:03:31 UTC</t>
  </si>
  <si>
    <t>Andreas J. Konig</t>
  </si>
  <si>
    <t>11/07/2024 at 19:09:15 UTC</t>
  </si>
  <si>
    <t>Philips</t>
  </si>
  <si>
    <t>04/22/2024 at 17:37:36 UTC</t>
  </si>
  <si>
    <t>01/11/2024 at 17:00:43 UTC</t>
  </si>
  <si>
    <t>07/01/2024 at 14:13:58 UTC</t>
  </si>
  <si>
    <t>Signia Group</t>
  </si>
  <si>
    <t>09/24/2024 at 16:22:00 UTC</t>
  </si>
  <si>
    <t>03/20/2023 at 13:54:27 UTC</t>
  </si>
  <si>
    <t>Orchard Software Corporation</t>
  </si>
  <si>
    <t>09/28/2022 at 01:40:54 UTC</t>
  </si>
  <si>
    <t>Corel Corporation</t>
  </si>
  <si>
    <t>Corelight</t>
  </si>
  <si>
    <t>11/08/2024 at 02:03:27 UTC</t>
  </si>
  <si>
    <t>Core Mobile Inc.</t>
  </si>
  <si>
    <t>12/27/2024 at 15:39:44 UTC</t>
  </si>
  <si>
    <t>Cricut</t>
  </si>
  <si>
    <t>01/24/2024 at 03:40:01 UTC</t>
  </si>
  <si>
    <t>10/19/2022 at 16:51:02 UTC</t>
  </si>
  <si>
    <t>04/01/2024 at 19:29:53 UTC</t>
  </si>
  <si>
    <t>01/18/2024 at 02:49:57 UTC</t>
  </si>
  <si>
    <t>CYBERARK</t>
  </si>
  <si>
    <t>Leica Geosystems</t>
  </si>
  <si>
    <t>10/23/2024 at 01:31:25 UTC</t>
  </si>
  <si>
    <t>04/08/2024 at 14:58:02 UTC</t>
  </si>
  <si>
    <t>Dalet</t>
  </si>
  <si>
    <t>12/27/2023 at 17:41:52 UTC</t>
  </si>
  <si>
    <t>Informatica</t>
  </si>
  <si>
    <t>04/23/2024 at 01:42:35 UTC</t>
  </si>
  <si>
    <t>CommScope</t>
  </si>
  <si>
    <t>11/14/2024 at 18:51:31 UTC</t>
  </si>
  <si>
    <t>12/26/2024 at 22:35:51 UTC</t>
  </si>
  <si>
    <t>11/15/2024 at 22:28:39 UTC</t>
  </si>
  <si>
    <t>Altova</t>
  </si>
  <si>
    <t>01/07/2025 at 01:24:58 UTC</t>
  </si>
  <si>
    <t>DBeaver</t>
  </si>
  <si>
    <t>forProject Technology, Inc.</t>
  </si>
  <si>
    <t>Military Health System</t>
  </si>
  <si>
    <t>05/09/2023 at 19:44:11 UTC</t>
  </si>
  <si>
    <t>01/11/2023 at 18:22:34 UTC</t>
  </si>
  <si>
    <t>05/01/2023 at 00:57:20 UTC</t>
  </si>
  <si>
    <t>Dexcom</t>
  </si>
  <si>
    <t>11/27/2024 at 00:44:23 UTC</t>
  </si>
  <si>
    <t>DFnet</t>
  </si>
  <si>
    <t>01/02/2025 at 19:25:00 UTC</t>
  </si>
  <si>
    <t>National Cancer Institute (NCI)</t>
  </si>
  <si>
    <t>Digital Monitoring Products (DMP)</t>
  </si>
  <si>
    <t>09/19/2024 at 17:25:17 UTC</t>
  </si>
  <si>
    <t>Digisonics, Inc.</t>
  </si>
  <si>
    <t>Design for Vision, Inc.</t>
  </si>
  <si>
    <t>11/22/2023 at 14:40:36 UTC</t>
  </si>
  <si>
    <t>06/07/2024 at 18:33:08 UTC</t>
  </si>
  <si>
    <t>JBoss</t>
  </si>
  <si>
    <t>02/21/2023 at 18:59:57 UTC</t>
  </si>
  <si>
    <t>11/12/2024 at 01:41:43 UTC</t>
  </si>
  <si>
    <t>Druva</t>
  </si>
  <si>
    <t>01/30/2024 at 01:08:49 UTC</t>
  </si>
  <si>
    <t>DYMO</t>
  </si>
  <si>
    <t>03/01/2024 at 02:18:29 UTC</t>
  </si>
  <si>
    <t>Invivo</t>
  </si>
  <si>
    <t>04/04/2023 at 02:07:14 UTC</t>
  </si>
  <si>
    <t>Hitachi</t>
  </si>
  <si>
    <t>09/28/2022 at 01:40:49 UTC</t>
  </si>
  <si>
    <t>DynaTrace</t>
  </si>
  <si>
    <t>06/27/2024 at 17:09:37 UTC</t>
  </si>
  <si>
    <t>05/30/2024 at 02:59:18 UTC</t>
  </si>
  <si>
    <t>Eagle6</t>
  </si>
  <si>
    <t>08/10/2023 at 00:54:49 UTC</t>
  </si>
  <si>
    <t>LASCAR</t>
  </si>
  <si>
    <t>09/27/2024 at 16:28:42 UTC</t>
  </si>
  <si>
    <t>01/10/2024 at 21:11:25 UTC</t>
  </si>
  <si>
    <t>Edge Technologies</t>
  </si>
  <si>
    <t>11/22/2023 at 15:05:17 UTC</t>
  </si>
  <si>
    <t>ELMO USA Corp.</t>
  </si>
  <si>
    <t>12/19/2024 at 15:06:49 UTC</t>
  </si>
  <si>
    <t>Ember</t>
  </si>
  <si>
    <t>12/26/2024 at 22:35:48 UTC</t>
  </si>
  <si>
    <t>Enterprise Health</t>
  </si>
  <si>
    <t>01/24/2024 at 03:39:20 UTC</t>
  </si>
  <si>
    <t>Equature</t>
  </si>
  <si>
    <t>04/04/2024 at 03:11:15 UTC</t>
  </si>
  <si>
    <t>Xiasma Ltd.</t>
  </si>
  <si>
    <t>Level 4 Ventures, Inc.</t>
  </si>
  <si>
    <t>09/01/2022 at 20:19:38 UTC</t>
  </si>
  <si>
    <t>ExoCad</t>
  </si>
  <si>
    <t>10/03/2023 at 14:45:21 UTC</t>
  </si>
  <si>
    <t>01/10/2023 at 02:26:16 UTC</t>
  </si>
  <si>
    <t>Sebasti&amp;#225;n Ram&amp;#237;rez</t>
  </si>
  <si>
    <t>02/08/2024 at 15:41:23 UTC</t>
  </si>
  <si>
    <t>FFmpeg</t>
  </si>
  <si>
    <t>01/30/2024 at 00:09:22 UTC</t>
  </si>
  <si>
    <t>09/26/2024 at 17:51:30 UTC</t>
  </si>
  <si>
    <t>FIS</t>
  </si>
  <si>
    <t>03/19/2024 at 00:47:20 UTC</t>
  </si>
  <si>
    <t>FlashGrid</t>
  </si>
  <si>
    <t>04/08/2024 at 15:17:27 UTC</t>
  </si>
  <si>
    <t>FlowJo, LLC</t>
  </si>
  <si>
    <t>Flywheel</t>
  </si>
  <si>
    <t>11/14/2023 at 14:20:56 UTC</t>
  </si>
  <si>
    <t>Safe Software</t>
  </si>
  <si>
    <t>12/27/2024 at 23:58:33 UTC</t>
  </si>
  <si>
    <t>.com Solutions Inc.</t>
  </si>
  <si>
    <t>12/22/2023 at 20:35:43 UTC</t>
  </si>
  <si>
    <t>West-Com Nurse Call Systems, Inc.</t>
  </si>
  <si>
    <t>01/04/2024 at 03:41:25 UTC</t>
  </si>
  <si>
    <t>FreeRADIUS</t>
  </si>
  <si>
    <t>06/18/2024 at 17:39:03 UTC</t>
  </si>
  <si>
    <t>Abbott</t>
  </si>
  <si>
    <t>The General Hospital Corporation (MGH)</t>
  </si>
  <si>
    <t>01/30/2024 at 01:09:23 UTC</t>
  </si>
  <si>
    <t>Dataworks Development Inc.</t>
  </si>
  <si>
    <t>07/17/2024 at 16:03:16 UTC</t>
  </si>
  <si>
    <t>Futrex, Inc.</t>
  </si>
  <si>
    <t>Noise Industries, LLC</t>
  </si>
  <si>
    <t>08/31/2022 at 02:19:01 UTC</t>
  </si>
  <si>
    <t>09/24/2024 at 16:22:04 UTC</t>
  </si>
  <si>
    <t>Georgia SoftWorks</t>
  </si>
  <si>
    <t>06/06/2024 at 16:17:54 UTC</t>
  </si>
  <si>
    <t>GetWellNetwork Inc</t>
  </si>
  <si>
    <t>05/16/2024 at 15:53:28 UTC</t>
  </si>
  <si>
    <t>Sanford Federal</t>
  </si>
  <si>
    <t>07/12/2024 at 02:55:57 UTC</t>
  </si>
  <si>
    <t>Gallagher &amp; Robertson (G&amp;R)</t>
  </si>
  <si>
    <t>09/16/2024 at 14:58:56 UTC</t>
  </si>
  <si>
    <t>NEC</t>
  </si>
  <si>
    <t>02/05/2024 at 18:07:12 UTC</t>
  </si>
  <si>
    <t>Free Software Foundation</t>
  </si>
  <si>
    <t>10/04/2023 at 14:58:25 UTC</t>
  </si>
  <si>
    <t>Gradle Inc.</t>
  </si>
  <si>
    <t>Grafana</t>
  </si>
  <si>
    <t>01/08/2025 at 13:17:39 UTC</t>
  </si>
  <si>
    <t>GNOME</t>
  </si>
  <si>
    <t>12/10/2024 at 18:06:46 UTC</t>
  </si>
  <si>
    <t>07/21/2023 at 16:37:10 UTC</t>
  </si>
  <si>
    <t>Guldmann Inc.</t>
  </si>
  <si>
    <t>12/02/2022 at 03:50:56 UTC</t>
  </si>
  <si>
    <t>Kanomax Inc.</t>
  </si>
  <si>
    <t>Hanel GmbH &amp; Co</t>
  </si>
  <si>
    <t>10/25/2024 at 15:59:14 UTC</t>
  </si>
  <si>
    <t>Harness</t>
  </si>
  <si>
    <t>12/10/2024 at 18:06:49 UTC</t>
  </si>
  <si>
    <t>07/19/2024 at 02:54:59 UTC</t>
  </si>
  <si>
    <t>Hewlett Packard Enterprise</t>
  </si>
  <si>
    <t>12/10/2024 at 18:07:42 UTC</t>
  </si>
  <si>
    <t>Hibernate</t>
  </si>
  <si>
    <t>08/30/2024 at 16:19:57 UTC</t>
  </si>
  <si>
    <t>ConexSys Inc.</t>
  </si>
  <si>
    <t>01/08/2024 at 02:39:47 UTC</t>
  </si>
  <si>
    <t>04/30/2024 at 17:14:35 UTC</t>
  </si>
  <si>
    <t>06/06/2024 at 16:17:55 UTC</t>
  </si>
  <si>
    <t>06/06/2024 at 16:17:56 UTC</t>
  </si>
  <si>
    <t>04/12/2024 at 16:36:37 UTC</t>
  </si>
  <si>
    <t>HTCondor</t>
  </si>
  <si>
    <t>09/24/2024 at 16:22:09 UTC</t>
  </si>
  <si>
    <t>HUGIN EXPERT A/S</t>
  </si>
  <si>
    <t>SystemTools Software Inc.</t>
  </si>
  <si>
    <t>12/12/2023 at 12:58:55 UTC</t>
  </si>
  <si>
    <t>09/01/2022 at 20:19:29 UTC</t>
  </si>
  <si>
    <t>11/14/2019 at 08:55:25 UTC</t>
  </si>
  <si>
    <t>Inductive Automation LLC</t>
  </si>
  <si>
    <t>02/14/2024 at 03:14:55 UTC</t>
  </si>
  <si>
    <t>InterFaceWare</t>
  </si>
  <si>
    <t>04/05/2023 at 00:57:26 UTC</t>
  </si>
  <si>
    <t>PACE Anti-Piracy, Inc</t>
  </si>
  <si>
    <t>10/14/2024 at 01:23:06 UTC</t>
  </si>
  <si>
    <t>Medicom</t>
  </si>
  <si>
    <t>11/20/2023 at 13:27:51 UTC</t>
  </si>
  <si>
    <t>IDS Imaging Development Systems GmbH</t>
  </si>
  <si>
    <t>01/25/2023 at 18:04:23 UTC</t>
  </si>
  <si>
    <t>Sony Corporation</t>
  </si>
  <si>
    <t>Oxford Instruments</t>
  </si>
  <si>
    <t>09/22/2023 at 18:43:41 UTC</t>
  </si>
  <si>
    <t>Taylor Healthcare</t>
  </si>
  <si>
    <t>07/30/2024 at 15:31:40 UTC</t>
  </si>
  <si>
    <t>Agiliti Health, Inc.</t>
  </si>
  <si>
    <t>12/21/2023 at 21:23:24 UTC</t>
  </si>
  <si>
    <t>12/10/2024 at 18:06:50 UTC</t>
  </si>
  <si>
    <t>12/05/2022 at 17:52:46 UTC</t>
  </si>
  <si>
    <t>09/26/2024 at 17:51:08 UTC</t>
  </si>
  <si>
    <t>10/18/2024 at 17:34:25 UTC</t>
  </si>
  <si>
    <t>Starkey</t>
  </si>
  <si>
    <t>09/28/2023 at 02:42:35 UTC</t>
  </si>
  <si>
    <t>Arashi Vision, Inc.</t>
  </si>
  <si>
    <t>01/17/2024 at 03:51:57 UTC</t>
  </si>
  <si>
    <t>Data Innovations, LLC</t>
  </si>
  <si>
    <t>02/07/2024 at 18:15:17 UTC</t>
  </si>
  <si>
    <t>01/23/2024 at 01:30:42 UTC</t>
  </si>
  <si>
    <t>09/24/2024 at 16:22:07 UTC</t>
  </si>
  <si>
    <t>05/07/2024 at 03:25:28 UTC</t>
  </si>
  <si>
    <t>08/12/2024 at 15:25:14 UTC</t>
  </si>
  <si>
    <t>The Macro Group, Inc.</t>
  </si>
  <si>
    <t>Interactive Metronome, Inc</t>
  </si>
  <si>
    <t>11/14/2024 at 18:51:34 UTC</t>
  </si>
  <si>
    <t>07/15/2024 at 19:50:16 UTC</t>
  </si>
  <si>
    <t>05/16/2024 at 15:53:19 UTC</t>
  </si>
  <si>
    <t>11/26/2024 at 15:08:21 UTC</t>
  </si>
  <si>
    <t>01/18/2024 at 02:50:39 UTC</t>
  </si>
  <si>
    <t>International Business Machines (IBM) Accessibility</t>
  </si>
  <si>
    <t>05/13/2024 at 16:17:11 UTC</t>
  </si>
  <si>
    <t>02/28/2023 at 20:32:27 UTC</t>
  </si>
  <si>
    <t>11/07/2023 at 17:12:45 UTC</t>
  </si>
  <si>
    <t>01/30/2024 at 01:09:30 UTC</t>
  </si>
  <si>
    <t>04/29/2024 at 16:45:40 UTC</t>
  </si>
  <si>
    <t>12/02/2024 at 22:51:13 UTC</t>
  </si>
  <si>
    <t>10/10/2022 at 19:58:54 UTC</t>
  </si>
  <si>
    <t>Software Diversified Services (SDS)</t>
  </si>
  <si>
    <t>09/26/2024 at 17:51:01 UTC</t>
  </si>
  <si>
    <t>Spacelabs Healthcare</t>
  </si>
  <si>
    <t>SCLogic</t>
  </si>
  <si>
    <t>11/21/2023 at 14:57:00 UTC</t>
  </si>
  <si>
    <t>10/29/2024 at 16:12:10 UTC</t>
  </si>
  <si>
    <t>Anatomage</t>
  </si>
  <si>
    <t>06/07/2024 at 18:33:09 UTC</t>
  </si>
  <si>
    <t>12/09/2022 at 19:30:46 UTC</t>
  </si>
  <si>
    <t>iperf.fr</t>
  </si>
  <si>
    <t>04/24/2024 at 18:26:58 UTC</t>
  </si>
  <si>
    <t>Ivanti</t>
  </si>
  <si>
    <t>10/29/2024 at 19:18:20 UTC</t>
  </si>
  <si>
    <t>iZotope</t>
  </si>
  <si>
    <t>11/16/2023 at 20:31:15 UTC</t>
  </si>
  <si>
    <t>10/25/2024 at 15:13:46 UTC</t>
  </si>
  <si>
    <t>03/14/2024 at 16:06:26 UTC</t>
  </si>
  <si>
    <t>Johnson, Roberts and Associates, Inc. (JRA)</t>
  </si>
  <si>
    <t>GoTo</t>
  </si>
  <si>
    <t>01/17/2024 at 03:51:58 UTC</t>
  </si>
  <si>
    <t>JTB World</t>
  </si>
  <si>
    <t>Keysight Technologies</t>
  </si>
  <si>
    <t>09/12/2024 at 16:25:03 UTC</t>
  </si>
  <si>
    <t>Kong</t>
  </si>
  <si>
    <t>ADInstruments</t>
  </si>
  <si>
    <t>01/20/2023 at 19:57:23 UTC</t>
  </si>
  <si>
    <t>National Instruments</t>
  </si>
  <si>
    <t>11/02/2023 at 18:47:54 UTC</t>
  </si>
  <si>
    <t>LSVT Global, Inc.</t>
  </si>
  <si>
    <t>10/23/2023 at 14:22:13 UTC</t>
  </si>
  <si>
    <t>Lexmark</t>
  </si>
  <si>
    <t>09/19/2024 at 01:09:36 UTC</t>
  </si>
  <si>
    <t>The Document Foundation</t>
  </si>
  <si>
    <t>General Services Administration</t>
  </si>
  <si>
    <t>11/12/2024 at 01:41:45 UTC</t>
  </si>
  <si>
    <t>Softerra, Inc.</t>
  </si>
  <si>
    <t>07/19/2024 at 16:33:47 UTC</t>
  </si>
  <si>
    <t>Strategic Matching, Inc.</t>
  </si>
  <si>
    <t>11/03/2023 at 03:22:50 UTC</t>
  </si>
  <si>
    <t>Scientific Software International, Inc</t>
  </si>
  <si>
    <t>Whitestein</t>
  </si>
  <si>
    <t>09/14/2022 at 19:24:13 UTC</t>
  </si>
  <si>
    <t>03/29/2024 at 02:26:08 UTC</t>
  </si>
  <si>
    <t>11/21/2024 at 23:32:31 UTC</t>
  </si>
  <si>
    <t>Login VSI</t>
  </si>
  <si>
    <t>02/24/2023 at 15:20:26 UTC</t>
  </si>
  <si>
    <t>04/11/2024 at 15:53:29 UTC</t>
  </si>
  <si>
    <t>Micro Technology Services</t>
  </si>
  <si>
    <t>10/14/2024 at 01:22:53 UTC</t>
  </si>
  <si>
    <t>Samsung</t>
  </si>
  <si>
    <t>02/12/2024 at 20:36:45 UTC</t>
  </si>
  <si>
    <t>Medical Reporting Software Systems, Inc.</t>
  </si>
  <si>
    <t>11/26/2022 at 01:18:25 UTC</t>
  </si>
  <si>
    <t>Caliper</t>
  </si>
  <si>
    <t>12/19/2024 at 15:06:42 UTC</t>
  </si>
  <si>
    <t>10/25/2024 at 15:13:48 UTC</t>
  </si>
  <si>
    <t>Materialise</t>
  </si>
  <si>
    <t>06/07/2024 at 18:33:10 UTC</t>
  </si>
  <si>
    <t>Department of Energy</t>
  </si>
  <si>
    <t>07/24/2024 at 04:25:15 UTC</t>
  </si>
  <si>
    <t>Medeco</t>
  </si>
  <si>
    <t>08/29/2024 at 15:55:00 UTC</t>
  </si>
  <si>
    <t>Optec Displays, Inc.</t>
  </si>
  <si>
    <t>11/08/2024 at 02:03:28 UTC</t>
  </si>
  <si>
    <t>10/24/2023 at 01:34:31 UTC</t>
  </si>
  <si>
    <t>Medicor Imaging</t>
  </si>
  <si>
    <t>08/28/2024 at 17:43:16 UTC</t>
  </si>
  <si>
    <t>Avicenna Medical Systems</t>
  </si>
  <si>
    <t>10/10/2024 at 18:03:51 UTC</t>
  </si>
  <si>
    <t>Mentalix</t>
  </si>
  <si>
    <t>08/02/2023 at 15:32:40 UTC</t>
  </si>
  <si>
    <t>Metacoda</t>
  </si>
  <si>
    <t>Johnson Controls</t>
  </si>
  <si>
    <t>11/06/2024 at 02:07:47 UTC</t>
  </si>
  <si>
    <t>11/14/2022 at 17:43:11 UTC</t>
  </si>
  <si>
    <t>12/10/2022 at 01:14:32 UTC</t>
  </si>
  <si>
    <t>09/28/2023 at 15:36:23 UTC</t>
  </si>
  <si>
    <t>11/26/2024 at 15:08:22 UTC</t>
  </si>
  <si>
    <t>03/18/2024 at 23:38:56 UTC</t>
  </si>
  <si>
    <t>10/23/2024 at 01:31:24 UTC</t>
  </si>
  <si>
    <t>12/16/2024 at 20:45:52 UTC</t>
  </si>
  <si>
    <t>02/05/2024 at 01:41:08 UTC</t>
  </si>
  <si>
    <t>01/25/2024 at 01:34:23 UTC</t>
  </si>
  <si>
    <t>MicroStrategy</t>
  </si>
  <si>
    <t>07/01/2024 at 15:53:05 UTC</t>
  </si>
  <si>
    <t>LabLogic Systems Ltd.</t>
  </si>
  <si>
    <t>05/22/2024 at 16:15:31 UTC</t>
  </si>
  <si>
    <t>12/27/2023 at 17:41:51 UTC</t>
  </si>
  <si>
    <t>12/28/2023 at 20:12:14 UTC</t>
  </si>
  <si>
    <t>10/03/2022 at 19:04:02 UTC</t>
  </si>
  <si>
    <t>Mirantis</t>
  </si>
  <si>
    <t>06/18/2024 at 21:36:08 UTC</t>
  </si>
  <si>
    <t>Mitel Networks Corporation</t>
  </si>
  <si>
    <t>07/01/2024 at 14:13:53 UTC</t>
  </si>
  <si>
    <t>01/18/2024 at 02:51:34 UTC</t>
  </si>
  <si>
    <t>CGI</t>
  </si>
  <si>
    <t>08/29/2024 at 15:54:39 UTC</t>
  </si>
  <si>
    <t>10/10/2023 at 15:10:57 UTC</t>
  </si>
  <si>
    <t>Progress</t>
  </si>
  <si>
    <t>07/10/2024 at 12:15:38 UTC</t>
  </si>
  <si>
    <t>Movella</t>
  </si>
  <si>
    <t>12/20/2024 at 21:29:07 UTC</t>
  </si>
  <si>
    <t>01/30/2024 at 01:10:04 UTC</t>
  </si>
  <si>
    <t>01/18/2024 at 02:51:44 UTC</t>
  </si>
  <si>
    <t>Nearstar, Inc.</t>
  </si>
  <si>
    <t>06/11/2024 at 16:45:48 UTC</t>
  </si>
  <si>
    <t>Neo Technology</t>
  </si>
  <si>
    <t>02/14/2024 at 03:15:02 UTC</t>
  </si>
  <si>
    <t>02/12/2024 at 16:52:03 UTC</t>
  </si>
  <si>
    <t>Datacap Systems, Inc.</t>
  </si>
  <si>
    <t>01/02/2025 at 15:06:28 UTC</t>
  </si>
  <si>
    <t>01/06/2025 at 16:59:03 UTC</t>
  </si>
  <si>
    <t>SonaType</t>
  </si>
  <si>
    <t>03/14/2024 at 15:09:09 UTC</t>
  </si>
  <si>
    <t>1E</t>
  </si>
  <si>
    <t>12/19/2024 at 15:06:50 UTC</t>
  </si>
  <si>
    <t>08/06/2024 at 18:47:13 UTC</t>
  </si>
  <si>
    <t>Dassault Systems</t>
  </si>
  <si>
    <t>11/25/2024 at 18:02:05 UTC</t>
  </si>
  <si>
    <t>Softland</t>
  </si>
  <si>
    <t>03/04/2024 at 15:54:25 UTC</t>
  </si>
  <si>
    <t>04/22/2024 at 17:37:29 UTC</t>
  </si>
  <si>
    <t>11/14/2024 at 18:51:24 UTC</t>
  </si>
  <si>
    <t>Nonin Medical, Inc.</t>
  </si>
  <si>
    <t>QSR INTERNATIONAL</t>
  </si>
  <si>
    <t>07/19/2024 at 16:34:06 UTC</t>
  </si>
  <si>
    <t>Octopus Deploy</t>
  </si>
  <si>
    <t>Qognify</t>
  </si>
  <si>
    <t>03/01/2024 at 18:24:49 UTC</t>
  </si>
  <si>
    <t>Okta</t>
  </si>
  <si>
    <t>04/15/2024 at 15:52:22 UTC</t>
  </si>
  <si>
    <t>Upland Software, Inc</t>
  </si>
  <si>
    <t>09/26/2024 at 17:51:10 UTC</t>
  </si>
  <si>
    <t>Omnicell</t>
  </si>
  <si>
    <t>11/29/2024 at 21:12:10 UTC</t>
  </si>
  <si>
    <t>Omnigo</t>
  </si>
  <si>
    <t>01/03/2024 at 04:39:52 UTC</t>
  </si>
  <si>
    <t>11/20/2024 at 14:40:23 UTC</t>
  </si>
  <si>
    <t>Onyx Graphics, Inc.</t>
  </si>
  <si>
    <t>01/25/2024 at 01:34:44 UTC</t>
  </si>
  <si>
    <t>Open SSL Software Foundation</t>
  </si>
  <si>
    <t>11/29/2023 at 19:30:01 UTC</t>
  </si>
  <si>
    <t>OpenSC (Smart Card)</t>
  </si>
  <si>
    <t>09/16/2024 at 14:58:55 UTC</t>
  </si>
  <si>
    <t>Unify</t>
  </si>
  <si>
    <t>07/03/2024 at 19:34:05 UTC</t>
  </si>
  <si>
    <t>04/18/2024 at 18:19:36 UTC</t>
  </si>
  <si>
    <t>Healthcare Control Systems</t>
  </si>
  <si>
    <t>03/27/2024 at 01:49:28 UTC</t>
  </si>
  <si>
    <t>Edifecs</t>
  </si>
  <si>
    <t>10/14/2024 at 01:23:21 UTC</t>
  </si>
  <si>
    <t>LEAD Technologies</t>
  </si>
  <si>
    <t>04/11/2024 at 15:53:12 UTC</t>
  </si>
  <si>
    <t>Optoacoustics Ltd.</t>
  </si>
  <si>
    <t>07/01/2024 at 15:53:21 UTC</t>
  </si>
  <si>
    <t>10/31/2024 at 16:35:35 UTC</t>
  </si>
  <si>
    <t>09/26/2024 at 17:51:18 UTC</t>
  </si>
  <si>
    <t>07/15/2024 at 19:50:12 UTC</t>
  </si>
  <si>
    <t>10/28/2024 at 16:28:25 UTC</t>
  </si>
  <si>
    <t>12/06/2023 at 02:43:53 UTC</t>
  </si>
  <si>
    <t>03/27/2023 at 15:43:20 UTC</t>
  </si>
  <si>
    <t>10/25/2024 at 15:59:23 UTC</t>
  </si>
  <si>
    <t>10/25/2023 at 03:34:40 UTC</t>
  </si>
  <si>
    <t>09/14/2022 at 19:24:07 UTC</t>
  </si>
  <si>
    <t>08/25/2023 at 15:05:23 UTC</t>
  </si>
  <si>
    <t>02/02/2024 at 03:13:46 UTC</t>
  </si>
  <si>
    <t>Medical Packaging Inc. (MPI)</t>
  </si>
  <si>
    <t>03/17/2023 at 19:30:49 UTC</t>
  </si>
  <si>
    <t>06/21/2024 at 22:00:36 UTC</t>
  </si>
  <si>
    <t>Applied Spectral Imaging (ASI)</t>
  </si>
  <si>
    <t>05/07/2024 at 03:25:32 UTC</t>
  </si>
  <si>
    <t>11/25/2024 at 18:02:08 UTC</t>
  </si>
  <si>
    <t>Pelco</t>
  </si>
  <si>
    <t>PenRad Technologies, Inc.</t>
  </si>
  <si>
    <t>PHP Group</t>
  </si>
  <si>
    <t>Persyst Development Corporation</t>
  </si>
  <si>
    <t>Pevco</t>
  </si>
  <si>
    <t>06/03/2024 at 19:05:42 UTC</t>
  </si>
  <si>
    <t>03/07/2024 at 02:27:07 UTC</t>
  </si>
  <si>
    <t>Phonak</t>
  </si>
  <si>
    <t>09/19/2024 at 01:09:37 UTC</t>
  </si>
  <si>
    <t>11/09/2023 at 02:15:39 UTC</t>
  </si>
  <si>
    <t>Pilotfish Technology</t>
  </si>
  <si>
    <t>04/15/2024 at 15:52:23 UTC</t>
  </si>
  <si>
    <t>Standard Imaging Inc.</t>
  </si>
  <si>
    <t>10/03/2023 at 15:45:26 UTC</t>
  </si>
  <si>
    <t>Poly</t>
  </si>
  <si>
    <t>11/15/2024 at 21:35:13 UTC</t>
  </si>
  <si>
    <t>PDFsam</t>
  </si>
  <si>
    <t>05/07/2024 at 03:25:21 UTC</t>
  </si>
  <si>
    <t>Howard Medical</t>
  </si>
  <si>
    <t>10/14/2024 at 01:23:24 UTC</t>
  </si>
  <si>
    <t>SKM Systems Analysis, Inc</t>
  </si>
  <si>
    <t>11/17/2023 at 03:57:59 UTC</t>
  </si>
  <si>
    <t>Tripp Lite</t>
  </si>
  <si>
    <t>01/30/2024 at 01:10:24 UTC</t>
  </si>
  <si>
    <t>03/06/2024 at 04:24:53 UTC</t>
  </si>
  <si>
    <t>Amazon Web Services Labs</t>
  </si>
  <si>
    <t>02/14/2024 at 03:15:09 UTC</t>
  </si>
  <si>
    <t>InteleRad</t>
  </si>
  <si>
    <t>Preservica</t>
  </si>
  <si>
    <t>06/03/2024 at 19:06:13 UTC</t>
  </si>
  <si>
    <t>Boston Scientific</t>
  </si>
  <si>
    <t>04/28/2023 at 21:59:27 UTC</t>
  </si>
  <si>
    <t>Bbraun Medical</t>
  </si>
  <si>
    <t>02/22/2024 at 02:56:04 UTC</t>
  </si>
  <si>
    <t>Zebra Technologies</t>
  </si>
  <si>
    <t>11/20/2023 at 13:27:49 UTC</t>
  </si>
  <si>
    <t>Prisma</t>
  </si>
  <si>
    <t>Salto</t>
  </si>
  <si>
    <t>11/29/2024 at 20:47:26 UTC</t>
  </si>
  <si>
    <t>Bobby L. Jones</t>
  </si>
  <si>
    <t>10/13/2023 at 18:32:48 UTC</t>
  </si>
  <si>
    <t>Linux Foundation</t>
  </si>
  <si>
    <t>Puppet Labs</t>
  </si>
  <si>
    <t>Github</t>
  </si>
  <si>
    <t>09/12/2024 at 16:25:04 UTC</t>
  </si>
  <si>
    <t>Basler AG</t>
  </si>
  <si>
    <t>11/15/2023 at 18:12:47 UTC</t>
  </si>
  <si>
    <t>Qualisys</t>
  </si>
  <si>
    <t>02/06/2023 at 20:28:10 UTC</t>
  </si>
  <si>
    <t>Revvity</t>
  </si>
  <si>
    <t>12/22/2023 at 20:39:04 UTC</t>
  </si>
  <si>
    <t>Lutron Electronics Co., Inc.</t>
  </si>
  <si>
    <t>06/03/2024 at 19:06:01 UTC</t>
  </si>
  <si>
    <t>10/05/2022 at 21:49:01 UTC</t>
  </si>
  <si>
    <t>Verathon</t>
  </si>
  <si>
    <t>SUSE</t>
  </si>
  <si>
    <t>10/25/2023 at 20:45:48 UTC</t>
  </si>
  <si>
    <t>10/13/2023 at 18:32:46 UTC</t>
  </si>
  <si>
    <t>10/23/2023 at 16:07:53 UTC</t>
  </si>
  <si>
    <t>08/27/2024 at 15:28:46 UTC</t>
  </si>
  <si>
    <t>10/12/2023 at 19:34:47 UTC</t>
  </si>
  <si>
    <t>09/27/2024 at 16:28:37 UTC</t>
  </si>
  <si>
    <t>03/01/2024 at 18:24:50 UTC</t>
  </si>
  <si>
    <t>Relativity ODA LLC</t>
  </si>
  <si>
    <t>09/26/2024 at 17:51:19 UTC</t>
  </si>
  <si>
    <t>Rauland</t>
  </si>
  <si>
    <t>11/10/2022 at 22:23:02 UTC</t>
  </si>
  <si>
    <t>Cochrane</t>
  </si>
  <si>
    <t>RICOH</t>
  </si>
  <si>
    <t>04/15/2024 at 16:30:16 UTC</t>
  </si>
  <si>
    <t>03/13/2024 at 17:18:05 UTC</t>
  </si>
  <si>
    <t>03/07/2023 at 03:16:07 UTC</t>
  </si>
  <si>
    <t>Posit</t>
  </si>
  <si>
    <t>Adiscon</t>
  </si>
  <si>
    <t>08/15/2024 at 17:13:07 UTC</t>
  </si>
  <si>
    <t>Ruby Community</t>
  </si>
  <si>
    <t>03/13/2024 at 17:18:08 UTC</t>
  </si>
  <si>
    <t>Lars Kanis</t>
  </si>
  <si>
    <t>04/01/2024 at 02:09:05 UTC</t>
  </si>
  <si>
    <t>Salesforce</t>
  </si>
  <si>
    <t>05/06/2024 at 17:36:23 UTC</t>
  </si>
  <si>
    <t>Salient Systems</t>
  </si>
  <si>
    <t>10/28/2023 at 03:30:57 UTC</t>
  </si>
  <si>
    <t>04/17/2023 at 16:02:57 UTC</t>
  </si>
  <si>
    <t>11/14/2022 at 17:43:14 UTC</t>
  </si>
  <si>
    <t>11/17/2022 at 17:08:12 UTC</t>
  </si>
  <si>
    <t>10/25/2022 at 19:18:04 UTC</t>
  </si>
  <si>
    <t>ScriptPro LLC</t>
  </si>
  <si>
    <t>Delinea</t>
  </si>
  <si>
    <t>11/06/2023 at 20:27:11 UTC</t>
  </si>
  <si>
    <t>ShareGate</t>
  </si>
  <si>
    <t>06/21/2024 at 02:48:52 UTC</t>
  </si>
  <si>
    <t>Innovative Interfaces, Inc.</t>
  </si>
  <si>
    <t>10/20/2022 at 15:34:23 UTC</t>
  </si>
  <si>
    <t>ARANZ Medical</t>
  </si>
  <si>
    <t>04/09/2024 at 11:55:14 UTC</t>
  </si>
  <si>
    <t>Laerdal</t>
  </si>
  <si>
    <t>10/03/2022 at 19:04:00 UTC</t>
  </si>
  <si>
    <t>10/24/2023 at 01:34:29 UTC</t>
  </si>
  <si>
    <t>IC Realtime, LLC.</t>
  </si>
  <si>
    <t>ThinkSign Inc.</t>
  </si>
  <si>
    <t>10/04/2024 at 20:50:56 UTC</t>
  </si>
  <si>
    <t>SMART Technologies</t>
  </si>
  <si>
    <t>02/16/2024 at 17:20:00 UTC</t>
  </si>
  <si>
    <t>Smart Communications</t>
  </si>
  <si>
    <t>Koven Technology, Inc.</t>
  </si>
  <si>
    <t>11/14/2024 at 18:51:19 UTC</t>
  </si>
  <si>
    <t>Global Scanning Ltd.</t>
  </si>
  <si>
    <t>10/19/2023 at 17:58:03 UTC</t>
  </si>
  <si>
    <t>Snap Surveys</t>
  </si>
  <si>
    <t>10/28/2023 at 03:30:58 UTC</t>
  </si>
  <si>
    <t>Grokability</t>
  </si>
  <si>
    <t>Golden Helix, Inc</t>
  </si>
  <si>
    <t>09/21/2022 at 02:03:44 UTC</t>
  </si>
  <si>
    <t>School Health</t>
  </si>
  <si>
    <t>04/17/2023 at 14:22:29 UTC</t>
  </si>
  <si>
    <t>12/13/2024 at 19:36:32 UTC</t>
  </si>
  <si>
    <t>11/14/2024 at 18:51:21 UTC</t>
  </si>
  <si>
    <t>SonarSource</t>
  </si>
  <si>
    <t>10/31/2023 at 15:57:00 UTC</t>
  </si>
  <si>
    <t>09/09/2024 at 15:24:24 UTC</t>
  </si>
  <si>
    <t>Sorna</t>
  </si>
  <si>
    <t>10/14/2024 at 01:23:27 UTC</t>
  </si>
  <si>
    <t>11/06/2023 at 20:27:13 UTC</t>
  </si>
  <si>
    <t>VMware Tanzu Labs</t>
  </si>
  <si>
    <t>05/08/2024 at 13:47:57 UTC</t>
  </si>
  <si>
    <t>Quatrex</t>
  </si>
  <si>
    <t>10/02/2024 at 21:47:32 UTC</t>
  </si>
  <si>
    <t>04/08/2024 at 15:17:26 UTC</t>
  </si>
  <si>
    <t>04/17/2023 at 16:02:58 UTC</t>
  </si>
  <si>
    <t>10/25/2024 at 15:59:20 UTC</t>
  </si>
  <si>
    <t>StarTech.com Ltd</t>
  </si>
  <si>
    <t>12/21/2023 at 21:23:20 UTC</t>
  </si>
  <si>
    <t>07/03/2024 at 19:34:09 UTC</t>
  </si>
  <si>
    <t>02/16/2024 at 17:20:04 UTC</t>
  </si>
  <si>
    <t>10/25/2024 at 15:59:13 UTC</t>
  </si>
  <si>
    <t>KingswaySoft</t>
  </si>
  <si>
    <t>01/06/2025 at 02:05:00 UTC</t>
  </si>
  <si>
    <t>NeoSoft, LLC</t>
  </si>
  <si>
    <t>11/02/2023 at 16:15:59 UTC</t>
  </si>
  <si>
    <t>Computrition</t>
  </si>
  <si>
    <t>10/25/2023 at 03:34:39 UTC</t>
  </si>
  <si>
    <t>Sun Nuclear Corporation</t>
  </si>
  <si>
    <t>Supervisor</t>
  </si>
  <si>
    <t>01/30/2024 at 01:11:32 UTC</t>
  </si>
  <si>
    <t>10/31/2024 at 16:35:52 UTC</t>
  </si>
  <si>
    <t>12/22/2023 at 20:35:42 UTC</t>
  </si>
  <si>
    <t>Syncfusion</t>
  </si>
  <si>
    <t>11/10/2022 at 22:23:05 UTC</t>
  </si>
  <si>
    <t>3D Immersive Collaboration Consulting</t>
  </si>
  <si>
    <t>10/21/2022 at 23:34:13 UTC</t>
  </si>
  <si>
    <t>11/29/2024 at 20:47:47 UTC</t>
  </si>
  <si>
    <t>XL Consulting GmbH</t>
  </si>
  <si>
    <t>06/21/2024 at 02:48:55 UTC</t>
  </si>
  <si>
    <t>Inisoft</t>
  </si>
  <si>
    <t>03/11/2024 at 14:14:21 UTC</t>
  </si>
  <si>
    <t>Qlik</t>
  </si>
  <si>
    <t>Core Security</t>
  </si>
  <si>
    <t>01/18/2024 at 02:53:21 UTC</t>
  </si>
  <si>
    <t>03/27/2024 at 01:49:31 UTC</t>
  </si>
  <si>
    <t>SSH Communications Security</t>
  </si>
  <si>
    <t>02/22/2024 at 17:50:55 UTC</t>
  </si>
  <si>
    <t>12/15/2023 at 19:32:43 UTC</t>
  </si>
  <si>
    <t>01/11/2024 at 03:03:47 UTC</t>
  </si>
  <si>
    <t>Telestream</t>
  </si>
  <si>
    <t>04/05/2023 at 00:57:28 UTC</t>
  </si>
  <si>
    <t>Inmate Calling Solutions, LLC.</t>
  </si>
  <si>
    <t>10/04/2024 at 20:50:58 UTC</t>
  </si>
  <si>
    <t>TouchGraph</t>
  </si>
  <si>
    <t>09/21/2022 at 02:03:43 UTC</t>
  </si>
  <si>
    <t>Athinoula A. Martinos Center for Biomedical Imaging</t>
  </si>
  <si>
    <t>07/24/2024 at 12:37:06 UTC</t>
  </si>
  <si>
    <t>01/08/2025 at 18:20:23 UTC</t>
  </si>
  <si>
    <t>01/22/2024 at 02:13:18 UTC</t>
  </si>
  <si>
    <t>Tricentis</t>
  </si>
  <si>
    <t>11/02/2023 at 18:48:00 UTC</t>
  </si>
  <si>
    <t>03/28/2024 at 15:20:17 UTC</t>
  </si>
  <si>
    <t>CEREXE Inc.</t>
  </si>
  <si>
    <t>04/12/2024 at 16:36:36 UTC</t>
  </si>
  <si>
    <t>11/07/2024 at 19:09:20 UTC</t>
  </si>
  <si>
    <t>09/21/2022 at 02:03:53 UTC</t>
  </si>
  <si>
    <t>12/02/2022 at 03:50:48 UTC</t>
  </si>
  <si>
    <t>11/28/2023 at 19:44:21 UTC</t>
  </si>
  <si>
    <t>Regenstrief Institute, Inc.</t>
  </si>
  <si>
    <t>02/21/2019 at 09:36:05 UTC</t>
  </si>
  <si>
    <t>Canon</t>
  </si>
  <si>
    <t>09/14/2023 at 16:16:46 UTC</t>
  </si>
  <si>
    <t>Unity Technologies</t>
  </si>
  <si>
    <t>11/26/2024 at 15:08:14 UTC</t>
  </si>
  <si>
    <t>Big Bang LLC</t>
  </si>
  <si>
    <t>04/15/2024 at 16:30:17 UTC</t>
  </si>
  <si>
    <t>Extensis</t>
  </si>
  <si>
    <t>Pipkins Inc.</t>
  </si>
  <si>
    <t>07/01/2024 at 15:53:11 UTC</t>
  </si>
  <si>
    <t>Identiv</t>
  </si>
  <si>
    <t>10/04/2024 at 20:50:59 UTC</t>
  </si>
  <si>
    <t>Velocity Software</t>
  </si>
  <si>
    <t>07/01/2024 at 15:53:10 UTC</t>
  </si>
  <si>
    <t>03/13/2023 at 16:48:01 UTC</t>
  </si>
  <si>
    <t>02/07/2024 at 18:15:23 UTC</t>
  </si>
  <si>
    <t>Veracity Group Inc.</t>
  </si>
  <si>
    <t>Vertiv</t>
  </si>
  <si>
    <t>11/29/2024 at 20:47:48 UTC</t>
  </si>
  <si>
    <t>Sterling Solutions Inc.</t>
  </si>
  <si>
    <t>03/12/2024 at 15:25:12 UTC</t>
  </si>
  <si>
    <t>American Dynamics</t>
  </si>
  <si>
    <t>12/21/2023 at 21:14:00 UTC</t>
  </si>
  <si>
    <t>VictoriaMetrics</t>
  </si>
  <si>
    <t>03/13/2024 at 17:25:05 UTC</t>
  </si>
  <si>
    <t>Engineering and Computer Simulations, Inc.</t>
  </si>
  <si>
    <t>04/01/2024 at 19:29:54 UTC</t>
  </si>
  <si>
    <t>Visage Imaging</t>
  </si>
  <si>
    <t>11/20/2023 at 13:27:53 UTC</t>
  </si>
  <si>
    <t>Visiun</t>
  </si>
  <si>
    <t>10/16/2024 at 21:30:08 UTC</t>
  </si>
  <si>
    <t>12/20/2024 at 22:31:49 UTC</t>
  </si>
  <si>
    <t>09/27/2024 at 15:50:02 UTC</t>
  </si>
  <si>
    <t>Katalina Technologies Pty Ltd.</t>
  </si>
  <si>
    <t>01/11/2024 at 17:00:41 UTC</t>
  </si>
  <si>
    <t>Hanger, Inc.</t>
  </si>
  <si>
    <t>10/25/2024 at 15:59:19 UTC</t>
  </si>
  <si>
    <t>Cardinal Health</t>
  </si>
  <si>
    <t>10/26/2023 at 19:18:32 UTC</t>
  </si>
  <si>
    <t>12/02/2024 at 22:51:09 UTC</t>
  </si>
  <si>
    <t>11/29/2024 at 20:47:35 UTC</t>
  </si>
  <si>
    <t>12/20/2024 at 22:31:51 UTC</t>
  </si>
  <si>
    <t>11/30/2022 at 02:56:22 UTC</t>
  </si>
  <si>
    <t>Ready Computing</t>
  </si>
  <si>
    <t>WellSky</t>
  </si>
  <si>
    <t>10/02/2024 at 21:47:34 UTC</t>
  </si>
  <si>
    <t>Wiiisdom</t>
  </si>
  <si>
    <t>07/19/2024 at 02:55:01 UTC</t>
  </si>
  <si>
    <t>Win-911</t>
  </si>
  <si>
    <t>James Instruments</t>
  </si>
  <si>
    <t>10/12/2023 at 19:34:48 UTC</t>
  </si>
  <si>
    <t>07/24/2024 at 04:25:06 UTC</t>
  </si>
  <si>
    <t>09/22/2023 at 01:42:26 UTC</t>
  </si>
  <si>
    <t>01/04/2024 at 03:41:37 UTC</t>
  </si>
  <si>
    <t>Quetech, Ltd.</t>
  </si>
  <si>
    <t>10/13/2023 at 18:32:52 UTC</t>
  </si>
  <si>
    <t>WR Medical Electronics Co.</t>
  </si>
  <si>
    <t>11/29/2024 at 20:47:49 UTC</t>
  </si>
  <si>
    <t>05/18/2020 at 11:55:42 UTC</t>
  </si>
  <si>
    <t>X1 Discovery, Inc</t>
  </si>
  <si>
    <t>XPLG</t>
  </si>
  <si>
    <t>06/03/2024 at 19:06:06 UTC</t>
  </si>
  <si>
    <t>Zabbix SIA</t>
  </si>
  <si>
    <t>11/25/2024 at 18:02:07 UTC</t>
  </si>
  <si>
    <t>ZETO Inc</t>
  </si>
  <si>
    <t>Itamar Medical</t>
  </si>
  <si>
    <t>07/07/2023 at 16:18:27 UTC</t>
  </si>
  <si>
    <t>03/13/2023 at 16:47:52 UTC</t>
  </si>
  <si>
    <t>10/31/2024 at 16:36:01 UTC</t>
  </si>
  <si>
    <t>AMD</t>
  </si>
  <si>
    <t>09/25/2024 at 18:22:51 UTC</t>
  </si>
  <si>
    <t>Amion</t>
  </si>
  <si>
    <t>08/27/2024 at 02:03:19 UTC</t>
  </si>
  <si>
    <t>04/16/2024 at 15:23:33 UTC</t>
  </si>
  <si>
    <t>Direct Trust</t>
  </si>
  <si>
    <t>07/19/2024 at 02:54:53 UTC</t>
  </si>
  <si>
    <t>Rockwell Automation</t>
  </si>
  <si>
    <t>04/23/2020 at 16:11:09 UTC</t>
  </si>
  <si>
    <t>Dichotics, Inc</t>
  </si>
  <si>
    <t>06/30/2020 at 15:38:20 UTC</t>
  </si>
  <si>
    <t>Sysinternals LLC</t>
  </si>
  <si>
    <t>02/22/2024 at 03:38:28 UTC</t>
  </si>
  <si>
    <t>04/16/2024 at 15:23:37 UTC</t>
  </si>
  <si>
    <t>Belarc</t>
  </si>
  <si>
    <t>11/02/2022 at 04:10:22 UTC</t>
  </si>
  <si>
    <t>10/20/2022 at 15:34:25 UTC</t>
  </si>
  <si>
    <t>CKSource</t>
  </si>
  <si>
    <t>11/07/2024 at 19:09:10 UTC</t>
  </si>
  <si>
    <t>Blackboard, Inc.</t>
  </si>
  <si>
    <t>02/24/2020 at 11:22:48 UTC</t>
  </si>
  <si>
    <t>Unique Communications</t>
  </si>
  <si>
    <t>11/18/2024 at 14:26:42 UTC</t>
  </si>
  <si>
    <t>ITU</t>
  </si>
  <si>
    <t>11/07/2024 at 19:09:07 UTC</t>
  </si>
  <si>
    <t>Columbia University Information Technology (CUIT)</t>
  </si>
  <si>
    <t>04/01/2020 at 13:07:19 UTC</t>
  </si>
  <si>
    <t>DameWare (part of SolarWinds)</t>
  </si>
  <si>
    <t>NEMA</t>
  </si>
  <si>
    <t>04/11/2023 at 02:18:59 UTC</t>
  </si>
  <si>
    <t>Neevia Technology</t>
  </si>
  <si>
    <t>08/28/2024 at 17:43:07 UTC</t>
  </si>
  <si>
    <t>06/09/2020 at 14:32:20 UTC</t>
  </si>
  <si>
    <t>Condusiv Technologies</t>
  </si>
  <si>
    <t>03/14/2024 at 16:04:35 UTC</t>
  </si>
  <si>
    <t>04/04/2024 at 15:40:17 UTC</t>
  </si>
  <si>
    <t>10/10/2024 at 02:06:19 UTC</t>
  </si>
  <si>
    <t>Epson</t>
  </si>
  <si>
    <t>Dr. Urbano Lorenzo-Seva</t>
  </si>
  <si>
    <t>03/02/2021 at 20:59:26 UTC</t>
  </si>
  <si>
    <t>Juniper Networks</t>
  </si>
  <si>
    <t>07/29/2019 at 07:24:30 UTC</t>
  </si>
  <si>
    <t>Illumina</t>
  </si>
  <si>
    <t>05/03/2023 at 03:30:32 UTC</t>
  </si>
  <si>
    <t>Software Freedom Conservancy</t>
  </si>
  <si>
    <t>12/20/2024 at 22:31:45 UTC</t>
  </si>
  <si>
    <t>David Kieras</t>
  </si>
  <si>
    <t>10/20/2022 at 15:34:13 UTC</t>
  </si>
  <si>
    <t>The Grails Project</t>
  </si>
  <si>
    <t>03/09/2021 at 10:14:49 UTC</t>
  </si>
  <si>
    <t>Ontotext</t>
  </si>
  <si>
    <t>10/25/2022 at 19:17:56 UTC</t>
  </si>
  <si>
    <t>AT&amp;T Labs Research</t>
  </si>
  <si>
    <t>Allin Cottrell, Wake Forest University</t>
  </si>
  <si>
    <t>11/30/2022 at 02:56:24 UTC</t>
  </si>
  <si>
    <t>Wycats</t>
  </si>
  <si>
    <t>01/06/2023 at 00:34:15 UTC</t>
  </si>
  <si>
    <t>02/28/2024 at 14:33:51 UTC</t>
  </si>
  <si>
    <t>TruOI</t>
  </si>
  <si>
    <t>08/28/2024 at 17:43:09 UTC</t>
  </si>
  <si>
    <t>Informatics for Integrating Biology and the Bedside</t>
  </si>
  <si>
    <t>04/07/2021 at 12:01:24 UTC</t>
  </si>
  <si>
    <t>Project Jupyter</t>
  </si>
  <si>
    <t>09/14/2022 at 19:24:11 UTC</t>
  </si>
  <si>
    <t>07/15/2024 at 19:50:23 UTC</t>
  </si>
  <si>
    <t>Shyam Pillai</t>
  </si>
  <si>
    <t>07/01/2024 at 19:39:42 UTC</t>
  </si>
  <si>
    <t>Logitech</t>
  </si>
  <si>
    <t>07/03/2024 at 19:34:00 UTC</t>
  </si>
  <si>
    <t>Lumenvox</t>
  </si>
  <si>
    <t>12/10/2024 at 18:08:25 UTC</t>
  </si>
  <si>
    <t>11/27/2023 at 17:22:42 UTC</t>
  </si>
  <si>
    <t>McAfee</t>
  </si>
  <si>
    <t>07/19/2023 at 18:06:20 UTC</t>
  </si>
  <si>
    <t>06/05/2020 at 00:36:59 UTC</t>
  </si>
  <si>
    <t>01/05/2023 at 01:51:00 UTC</t>
  </si>
  <si>
    <t>07/01/2024 at 15:53:17 UTC</t>
  </si>
  <si>
    <t>CIRT</t>
  </si>
  <si>
    <t>03/14/2024 at 16:06:23 UTC</t>
  </si>
  <si>
    <t>ExtendOffice</t>
  </si>
  <si>
    <t>10/01/2019 at 14:48:03 UTC</t>
  </si>
  <si>
    <t>09/25/2024 at 01:50:26 UTC</t>
  </si>
  <si>
    <t>audEERING GmbH</t>
  </si>
  <si>
    <t>Palisade</t>
  </si>
  <si>
    <t>Vector Networks</t>
  </si>
  <si>
    <t>07/10/2020 at 14:34:23 UTC</t>
  </si>
  <si>
    <t>CGSecurity</t>
  </si>
  <si>
    <t>02/28/2024 at 14:30:14 UTC</t>
  </si>
  <si>
    <t>Data Science International (DSI)</t>
  </si>
  <si>
    <t>Intel</t>
  </si>
  <si>
    <t>R Foundation for Statistical Computing</t>
  </si>
  <si>
    <t>07/25/2024 at 14:42:58 UTC</t>
  </si>
  <si>
    <t>Radiant Logic</t>
  </si>
  <si>
    <t>02/22/2023 at 19:05:55 UTC</t>
  </si>
  <si>
    <t>I.R.I.S.</t>
  </si>
  <si>
    <t>03/08/2024 at 03:43:25 UTC</t>
  </si>
  <si>
    <t>01/26/2021 at 16:20:24 UTC</t>
  </si>
  <si>
    <t>LOINC</t>
  </si>
  <si>
    <t>10/18/2022 at 16:18:08 UTC</t>
  </si>
  <si>
    <t>VS Revo Group</t>
  </si>
  <si>
    <t>Scintilla</t>
  </si>
  <si>
    <t>03/29/2023 at 03:18:43 UTC</t>
  </si>
  <si>
    <t>Kyung T. Han</t>
  </si>
  <si>
    <t>02/19/2021 at 09:45:52 UTC</t>
  </si>
  <si>
    <t>08/29/2022 at 15:29:22 UTC</t>
  </si>
  <si>
    <t>04/23/2020 at 16:24:25 UTC</t>
  </si>
  <si>
    <t>Splashtop</t>
  </si>
  <si>
    <t>03/13/2024 at 17:22:06 UTC</t>
  </si>
  <si>
    <t>Spyder IDE</t>
  </si>
  <si>
    <t>10/04/2024 at 17:13:11 UTC</t>
  </si>
  <si>
    <t>Para Technologies</t>
  </si>
  <si>
    <t>ANSI</t>
  </si>
  <si>
    <t>10/16/2024 at 21:30:10 UTC</t>
  </si>
  <si>
    <t>09/26/2024 at 17:51:14 UTC</t>
  </si>
  <si>
    <t>Knowledge Engineering Laboratories</t>
  </si>
  <si>
    <t>10/12/2022 at 15:00:57 UTC</t>
  </si>
  <si>
    <t>02/13/2020 at 16:11:23 UTC</t>
  </si>
  <si>
    <t>02/06/2024 at 02:01:42 UTC</t>
  </si>
  <si>
    <t>11/17/2022 at 02:07:20 UTC</t>
  </si>
  <si>
    <t>LunarG</t>
  </si>
  <si>
    <t>Rob Mensching</t>
  </si>
  <si>
    <t>X2Go Community</t>
  </si>
  <si>
    <t>yWorks</t>
  </si>
  <si>
    <t>Zend Technologies</t>
  </si>
  <si>
    <t>07/24/2024 at 04:25:07 UTC</t>
  </si>
  <si>
    <t>Paul J. Adam</t>
  </si>
  <si>
    <t>Abacus Data Systems, Inc.</t>
  </si>
  <si>
    <t>07/03/2024 at 19:33:59 UTC</t>
  </si>
  <si>
    <t>08/27/2019 at 08:51:24 UTC</t>
  </si>
  <si>
    <t>Tenacity Operating, LLC.</t>
  </si>
  <si>
    <t>07/25/2024 at 14:43:01 UTC</t>
  </si>
  <si>
    <t>06/21/2024 at 02:48:44 UTC</t>
  </si>
  <si>
    <t>ActivePDF, Inc.</t>
  </si>
  <si>
    <t>02/19/2020 at 11:57:45 UTC</t>
  </si>
  <si>
    <t>03/06/2023 at 20:04:08 UTC</t>
  </si>
  <si>
    <t>07/19/2024 at 16:34:04 UTC</t>
  </si>
  <si>
    <t>08/21/2020 at 13:26:15 UTC</t>
  </si>
  <si>
    <t>12/27/2022 at 22:03:51 UTC</t>
  </si>
  <si>
    <t>10/14/2024 at 01:22:49 UTC</t>
  </si>
  <si>
    <t>12/04/2019 at 08:22:50 UTC</t>
  </si>
  <si>
    <t>06/21/2024 at 22:00:50 UTC</t>
  </si>
  <si>
    <t>01/19/2021 at 11:35:14 UTC</t>
  </si>
  <si>
    <t>11/29/2024 at 17:31:34 UTC</t>
  </si>
  <si>
    <t>08/28/2019 at 16:01:49 UTC</t>
  </si>
  <si>
    <t>Touch Bionics Inc.</t>
  </si>
  <si>
    <t>09/22/2020 at 10:47:10 UTC</t>
  </si>
  <si>
    <t>06/14/2019 at 06:24:25 UTC</t>
  </si>
  <si>
    <t>06/21/2019 at 12:05:53 UTC</t>
  </si>
  <si>
    <t>01/08/2025 at 18:20:26 UTC</t>
  </si>
  <si>
    <t>10/30/2024 at 15:24:42 UTC</t>
  </si>
  <si>
    <t>11/14/2022 at 17:43:07 UTC</t>
  </si>
  <si>
    <t>11/23/2022 at 21:47:10 UTC</t>
  </si>
  <si>
    <t>Amfit, Inc.</t>
  </si>
  <si>
    <t>Cups.org</t>
  </si>
  <si>
    <t>02/05/2024 at 18:01:37 UTC</t>
  </si>
  <si>
    <t>International Bar Code Systems Inc.(IBC)</t>
  </si>
  <si>
    <t>05/19/2020 at 12:47:21 UTC</t>
  </si>
  <si>
    <t>10/23/2023 at 16:07:52 UTC</t>
  </si>
  <si>
    <t>10/25/2023 at 20:30:57 UTC</t>
  </si>
  <si>
    <t>11/25/2021 at 01:21:01 UTC</t>
  </si>
  <si>
    <t>11/25/2021 at 01:21:00 UTC</t>
  </si>
  <si>
    <t>03/20/2024 at 02:44:58 UTC</t>
  </si>
  <si>
    <t>09/03/2024 at 15:13:36 UTC</t>
  </si>
  <si>
    <t>Equivital Inc.</t>
  </si>
  <si>
    <t>05/03/2023 at 03:30:29 UTC</t>
  </si>
  <si>
    <t>Imagine That Inc.</t>
  </si>
  <si>
    <t>12/09/2022 at 20:10:15 UTC</t>
  </si>
  <si>
    <t>FileMaker Inc.</t>
  </si>
  <si>
    <t>11/06/2024 at 02:07:39 UTC</t>
  </si>
  <si>
    <t>Final Draft, Inc.</t>
  </si>
  <si>
    <t>12/09/2022 at 20:10:16 UTC</t>
  </si>
  <si>
    <t>01/14/2022 at 01:50:42 UTC</t>
  </si>
  <si>
    <t>06/06/2024 at 16:17:48 UTC</t>
  </si>
  <si>
    <t>Exacom, Inc.</t>
  </si>
  <si>
    <t>HiveIO, Inc.</t>
  </si>
  <si>
    <t>10/15/2020 at 08:02:20 UTC</t>
  </si>
  <si>
    <t>WinAbility Software Corp.</t>
  </si>
  <si>
    <t>09/09/2021 at 22:33:51 UTC</t>
  </si>
  <si>
    <t>Archon Systems, Inc.</t>
  </si>
  <si>
    <t>Blackfish Software, LLC.</t>
  </si>
  <si>
    <t>07/01/2024 at 15:53:09 UTC</t>
  </si>
  <si>
    <t>02/15/2024 at 20:11:08 UTC</t>
  </si>
  <si>
    <t>Identification International, Inc.</t>
  </si>
  <si>
    <t>03/27/2024 at 02:56:29 UTC</t>
  </si>
  <si>
    <t>Isonas Inc. / Allegion plc</t>
  </si>
  <si>
    <t>Atricore, Inc.</t>
  </si>
  <si>
    <t>02/02/2023 at 18:46:46 UTC</t>
  </si>
  <si>
    <t>05/09/2024 at 19:08:27 UTC</t>
  </si>
  <si>
    <t>11/18/2020 at 08:50:58 UTC</t>
  </si>
  <si>
    <t>linuxcontainers.org</t>
  </si>
  <si>
    <t>09/21/2022 at 02:04:11 UTC</t>
  </si>
  <si>
    <t>Lutech Industries, Inc.</t>
  </si>
  <si>
    <t>09/01/2022 at 20:19:37 UTC</t>
  </si>
  <si>
    <t>03/26/2024 at 16:10:58 UTC</t>
  </si>
  <si>
    <t>Meta Integration Inc.</t>
  </si>
  <si>
    <t>12/09/2022 at 20:10:57 UTC</t>
  </si>
  <si>
    <t>03/29/2024 at 02:26:07 UTC</t>
  </si>
  <si>
    <t>Moog, Inc.</t>
  </si>
  <si>
    <t>11/23/2022 at 22:12:30 UTC</t>
  </si>
  <si>
    <t>mRemoteNG.org</t>
  </si>
  <si>
    <t>01/07/2021 at 13:28:48 UTC</t>
  </si>
  <si>
    <t>FaxBack, Inc.</t>
  </si>
  <si>
    <t>06/10/2024 at 15:39:11 UTC</t>
  </si>
  <si>
    <t>Netbox Inc.</t>
  </si>
  <si>
    <t>05/30/2024 at 02:59:24 UTC</t>
  </si>
  <si>
    <t>05/31/2022 at 15:22:56 UTC</t>
  </si>
  <si>
    <t>No Magic, Inc.</t>
  </si>
  <si>
    <t>Barnes &amp; Noble Booksellers, Inc.</t>
  </si>
  <si>
    <t>07/12/2019 at 13:41:54 UTC</t>
  </si>
  <si>
    <t>NUnit.org</t>
  </si>
  <si>
    <t>Willow Wood Inc.</t>
  </si>
  <si>
    <t>11/17/2022 at 02:07:39 UTC</t>
  </si>
  <si>
    <t>12/07/2020 at 22:46:16 UTC</t>
  </si>
  <si>
    <t>12/27/2022 at 22:03:49 UTC</t>
  </si>
  <si>
    <t>Postdot Technologies, Inc.</t>
  </si>
  <si>
    <t>Mature Solutions, Inc.</t>
  </si>
  <si>
    <t>01/17/2019 at 09:29:32 UTC</t>
  </si>
  <si>
    <t>Andrew F. Hayes, Ph.D.</t>
  </si>
  <si>
    <t>09/14/2022 at 19:24:08 UTC</t>
  </si>
  <si>
    <t>06/18/2024 at 21:36:10 UTC</t>
  </si>
  <si>
    <t>Purple Communication, Inc.</t>
  </si>
  <si>
    <t>10/30/2024 at 15:24:47 UTC</t>
  </si>
  <si>
    <t>RubyGems.org</t>
  </si>
  <si>
    <t>04/07/2020 at 08:22:02 UTC</t>
  </si>
  <si>
    <t>07/01/2024 at 19:39:43 UTC</t>
  </si>
  <si>
    <t>Denis Kozlov, Furious Technologies Ltd.</t>
  </si>
  <si>
    <t>04/24/2024 at 18:28:29 UTC</t>
  </si>
  <si>
    <t>Hexygen, Inc.</t>
  </si>
  <si>
    <t>01/03/2024 at 04:39:57 UTC</t>
  </si>
  <si>
    <t>09/12/2024 at 16:58:25 UTC</t>
  </si>
  <si>
    <t>Linden Research, Inc.</t>
  </si>
  <si>
    <t>07/10/2020 at 14:34:38 UTC</t>
  </si>
  <si>
    <t>11/29/2024 at 17:31:32 UTC</t>
  </si>
  <si>
    <t>12/12/2022 at 03:45:11 UTC</t>
  </si>
  <si>
    <t>Safer-Networking Ltd.</t>
  </si>
  <si>
    <t>04/05/2023 at 00:57:27 UTC</t>
  </si>
  <si>
    <t>Structured Solutions Inc.</t>
  </si>
  <si>
    <t>02/23/2024 at 02:54:07 UTC</t>
  </si>
  <si>
    <t>Sysdig, Inc.</t>
  </si>
  <si>
    <t>06/25/2020 at 12:10:37 UTC</t>
  </si>
  <si>
    <t>TeamViewer Inc.</t>
  </si>
  <si>
    <t>04/30/2020 at 14:27:55 UTC</t>
  </si>
  <si>
    <t>TigerVNC.org</t>
  </si>
  <si>
    <t>05/28/2020 at 16:31:04 UTC</t>
  </si>
  <si>
    <t>Innovative Research, Inc.</t>
  </si>
  <si>
    <t>10/29/2024 at 19:18:21 UTC</t>
  </si>
  <si>
    <t>11/29/2023 at 19:30:04 UTC</t>
  </si>
  <si>
    <t>10/20/2022 at 15:34:10 UTC</t>
  </si>
  <si>
    <t>Twiki.net</t>
  </si>
  <si>
    <t>05/09/2023 at 19:44:04 UTC</t>
  </si>
  <si>
    <t>U.S. Nuclear Regulatory Commission</t>
  </si>
  <si>
    <t>Wilson WindowWare, Inc.</t>
  </si>
  <si>
    <t>11/29/2022 at 18:11:47 UTC</t>
  </si>
  <si>
    <t>Panos K. Chrysanthis</t>
  </si>
  <si>
    <t>11/06/2023 at 20:27:17 UTC</t>
  </si>
  <si>
    <t>Agilent Technologies</t>
  </si>
  <si>
    <t>12/20/2022 at 16:43:27 UTC</t>
  </si>
  <si>
    <t>Pie Medical Imaging</t>
  </si>
  <si>
    <t>Real Seven</t>
  </si>
  <si>
    <t>09/14/2022 at 19:24:10 UTC</t>
  </si>
  <si>
    <t>Igor Pavlov</t>
  </si>
  <si>
    <t>Absolute Software</t>
  </si>
  <si>
    <t>09/23/2024 at 17:09:03 UTC</t>
  </si>
  <si>
    <t>Multitone</t>
  </si>
  <si>
    <t>03/12/2024 at 15:25:11 UTC</t>
  </si>
  <si>
    <t>Valsatech Corporation</t>
  </si>
  <si>
    <t>11/25/2024 at 18:20:31 UTC</t>
  </si>
  <si>
    <t>Avigilon</t>
  </si>
  <si>
    <t>12/13/2024 at 19:38:10 UTC</t>
  </si>
  <si>
    <t>Defense Acquisition University</t>
  </si>
  <si>
    <t>Promethian World</t>
  </si>
  <si>
    <t>11/25/2022 at 21:06:06 UTC</t>
  </si>
  <si>
    <t>12/10/2024 at 18:06:55 UTC</t>
  </si>
  <si>
    <t>10/31/2024 at 16:35:46 UTC</t>
  </si>
  <si>
    <t>06/22/2019 at 16:37:29 UTC</t>
  </si>
  <si>
    <t>12/14/2023 at 16:04:14 UTC</t>
  </si>
  <si>
    <t>04/26/2024 at 17:30:47 UTC</t>
  </si>
  <si>
    <t>11/27/2024 at 00:44:22 UTC</t>
  </si>
  <si>
    <t>09/24/2024 at 16:21:58 UTC</t>
  </si>
  <si>
    <t>Advanced Sterilization Products</t>
  </si>
  <si>
    <t>05/01/2023 at 02:06:11 UTC</t>
  </si>
  <si>
    <t>aescripts+aeplugins</t>
  </si>
  <si>
    <t>10/20/2022 at 15:34:07 UTC</t>
  </si>
  <si>
    <t>Altium</t>
  </si>
  <si>
    <t>06/21/2024 at 22:00:34 UTC</t>
  </si>
  <si>
    <t>10/19/2022 at 16:51:01 UTC</t>
  </si>
  <si>
    <t>Ambir Technology</t>
  </si>
  <si>
    <t>11/22/2023 at 15:05:18 UTC</t>
  </si>
  <si>
    <t>American Healthtech</t>
  </si>
  <si>
    <t>Animal Resource Management</t>
  </si>
  <si>
    <t>12/05/2022 at 17:52:43 UTC</t>
  </si>
  <si>
    <t>10/30/2024 at 15:24:51 UTC</t>
  </si>
  <si>
    <t>07/24/2024 at 04:25:02 UTC</t>
  </si>
  <si>
    <t>03/09/2023 at 00:35:56 UTC</t>
  </si>
  <si>
    <t>01/06/2025 at 16:59:01 UTC</t>
  </si>
  <si>
    <t>Leica Biosystems</t>
  </si>
  <si>
    <t>06/03/2024 at 16:54:52 UTC</t>
  </si>
  <si>
    <t>TrelliX Skyhigh Security</t>
  </si>
  <si>
    <t>10/14/2024 at 01:20:07 UTC</t>
  </si>
  <si>
    <t>TeraRecon</t>
  </si>
  <si>
    <t>03/11/2024 at 14:14:02 UTC</t>
  </si>
  <si>
    <t>Ascom</t>
  </si>
  <si>
    <t>12/20/2024 at 21:29:08 UTC</t>
  </si>
  <si>
    <t>ASM Project</t>
  </si>
  <si>
    <t>08/26/2022 at 00:36:46 UTC</t>
  </si>
  <si>
    <t>11/30/2022 at 02:56:27 UTC</t>
  </si>
  <si>
    <t>04/29/2020 at 11:29:27 UTC</t>
  </si>
  <si>
    <t>Fanix Software</t>
  </si>
  <si>
    <t>02/06/2024 at 02:01:05 UTC</t>
  </si>
  <si>
    <t>InfoTronics</t>
  </si>
  <si>
    <t>Evermap</t>
  </si>
  <si>
    <t>12/20/2024 at 22:31:52 UTC</t>
  </si>
  <si>
    <t>Spatial Business Systems (SBS)</t>
  </si>
  <si>
    <t>01/11/2023 at 18:22:29 UTC</t>
  </si>
  <si>
    <t>12/26/2023 at 13:44:22 UTC</t>
  </si>
  <si>
    <t>06/21/2024 at 22:00:46 UTC</t>
  </si>
  <si>
    <t>12/21/2023 at 21:23:25 UTC</t>
  </si>
  <si>
    <t>10/31/2024 at 16:35:58 UTC</t>
  </si>
  <si>
    <t>Avid</t>
  </si>
  <si>
    <t>Axure Software Solutions</t>
  </si>
  <si>
    <t>06/13/2024 at 16:57:15 UTC</t>
  </si>
  <si>
    <t>01/17/2023 at 17:42:17 UTC</t>
  </si>
  <si>
    <t>Balsamiq Studios, LLC</t>
  </si>
  <si>
    <t>01/10/2023 at 02:26:09 UTC</t>
  </si>
  <si>
    <t>Neodynamic SRL</t>
  </si>
  <si>
    <t>02/22/2024 at 03:38:29 UTC</t>
  </si>
  <si>
    <t>04/23/2024 at 16:39:03 UTC</t>
  </si>
  <si>
    <t>Scooter Software</t>
  </si>
  <si>
    <t>09/23/2024 at 17:09:01 UTC</t>
  </si>
  <si>
    <t>Biscom</t>
  </si>
  <si>
    <t>11/16/2023 at 20:31:16 UTC</t>
  </si>
  <si>
    <t>NewSoft</t>
  </si>
  <si>
    <t>Blackmagic Design</t>
  </si>
  <si>
    <t>07/15/2024 at 19:06:14 UTC</t>
  </si>
  <si>
    <t>Bluebeam Software</t>
  </si>
  <si>
    <t>10/12/2023 at 19:34:50 UTC</t>
  </si>
  <si>
    <t>11/30/2023 at 17:15:44 UTC</t>
  </si>
  <si>
    <t>Boris FX</t>
  </si>
  <si>
    <t>01/10/2023 at 02:26:11 UTC</t>
  </si>
  <si>
    <t>BrainVisa Group</t>
  </si>
  <si>
    <t>07/01/2024 at 19:39:31 UTC</t>
  </si>
  <si>
    <t>16 Software</t>
  </si>
  <si>
    <t>11/14/2022 at 02:06:17 UTC</t>
  </si>
  <si>
    <t>Brother International</t>
  </si>
  <si>
    <t>04/11/2024 at 15:53:31 UTC</t>
  </si>
  <si>
    <t>04/16/2024 at 15:23:34 UTC</t>
  </si>
  <si>
    <t>Neurovirtual</t>
  </si>
  <si>
    <t>12/12/2023 at 12:52:41 UTC</t>
  </si>
  <si>
    <t>12/14/2023 at 13:36:51 UTC</t>
  </si>
  <si>
    <t>10/18/2024 at 18:03:16 UTC</t>
  </si>
  <si>
    <t>03/14/2024 at 16:04:10 UTC</t>
  </si>
  <si>
    <t>10/31/2024 at 16:35:57 UTC</t>
  </si>
  <si>
    <t>Caliber Public Safety</t>
  </si>
  <si>
    <t>12/09/2022 at 20:09:44 UTC</t>
  </si>
  <si>
    <t>Mopec</t>
  </si>
  <si>
    <t>12/05/2023 at 03:43:10 UTC</t>
  </si>
  <si>
    <t>Camunda</t>
  </si>
  <si>
    <t>01/05/2023 at 01:50:57 UTC</t>
  </si>
  <si>
    <t>12/09/2024 at 18:20:06 UTC</t>
  </si>
  <si>
    <t>Wes Todd</t>
  </si>
  <si>
    <t>Medtronic MiniMed</t>
  </si>
  <si>
    <t>General Devices</t>
  </si>
  <si>
    <t>09/25/2024 at 18:22:52 UTC</t>
  </si>
  <si>
    <t>CareSystems, Inc</t>
  </si>
  <si>
    <t>08/12/2024 at 15:25:19 UTC</t>
  </si>
  <si>
    <t>01/03/2024 at 04:39:44 UTC</t>
  </si>
  <si>
    <t>Meyers Neuropsychological Services</t>
  </si>
  <si>
    <t>01/05/2023 at 01:50:58 UTC</t>
  </si>
  <si>
    <t>08/13/2024 at 19:16:07 UTC</t>
  </si>
  <si>
    <t>06/06/2024 at 16:17:44 UTC</t>
  </si>
  <si>
    <t>07/29/2024 at 14:48:45 UTC</t>
  </si>
  <si>
    <t>12/20/2023 at 19:06:11 UTC</t>
  </si>
  <si>
    <t>08/26/2024 at 15:09:11 UTC</t>
  </si>
  <si>
    <t>04/08/2024 at 15:48:42 UTC</t>
  </si>
  <si>
    <t>Acentra Health</t>
  </si>
  <si>
    <t>01/07/2025 at 01:24:56 UTC</t>
  </si>
  <si>
    <t>XPerience Technologies</t>
  </si>
  <si>
    <t>12/10/2024 at 18:07:40 UTC</t>
  </si>
  <si>
    <t>Riverain Technologies</t>
  </si>
  <si>
    <t>Radiological Society of North America</t>
  </si>
  <si>
    <t>06/03/2024 at 16:54:37 UTC</t>
  </si>
  <si>
    <t>Assa Abloy</t>
  </si>
  <si>
    <t>02/02/2024 at 03:13:38 UTC</t>
  </si>
  <si>
    <t>ClockSpring</t>
  </si>
  <si>
    <t>11/22/2023 at 14:59:43 UTC</t>
  </si>
  <si>
    <t>Igitur</t>
  </si>
  <si>
    <t>12/27/2022 at 22:03:50 UTC</t>
  </si>
  <si>
    <t>02/16/2023 at 18:15:08 UTC</t>
  </si>
  <si>
    <t>Cockroach Labs</t>
  </si>
  <si>
    <t>08/30/2024 at 16:19:25 UTC</t>
  </si>
  <si>
    <t>MI7</t>
  </si>
  <si>
    <t>CodeSmith Tools</t>
  </si>
  <si>
    <t>Cogtool</t>
  </si>
  <si>
    <t>03/27/2024 at 01:49:27 UTC</t>
  </si>
  <si>
    <t>Allyant</t>
  </si>
  <si>
    <t>Boston University</t>
  </si>
  <si>
    <t>04/24/2024 at 18:28:06 UTC</t>
  </si>
  <si>
    <t>Morgan Scientific</t>
  </si>
  <si>
    <t>10/20/2022 at 15:34:05 UTC</t>
  </si>
  <si>
    <t>Appgate</t>
  </si>
  <si>
    <t>Comprehensive Meta Analysis</t>
  </si>
  <si>
    <t>02/21/2023 at 19:00:03 UTC</t>
  </si>
  <si>
    <t>National Oceanic and Atmospheric Administration (NOAA)</t>
  </si>
  <si>
    <t>Frederick Howard</t>
  </si>
  <si>
    <t>09/17/2024 at 16:21:48 UTC</t>
  </si>
  <si>
    <t>COSMOL</t>
  </si>
  <si>
    <t>01/30/2024 at 01:08:12 UTC</t>
  </si>
  <si>
    <t>Washington University School of Medicine</t>
  </si>
  <si>
    <t>08/15/2022 at 02:35:29 UTC</t>
  </si>
  <si>
    <t>Dacima Software, Inc</t>
  </si>
  <si>
    <t>01/18/2024 at 02:49:59 UTC</t>
  </si>
  <si>
    <t>Ziath</t>
  </si>
  <si>
    <t>07/31/2019 at 14:16:02 UTC</t>
  </si>
  <si>
    <t>DatStat</t>
  </si>
  <si>
    <t>03/29/2023 at 03:18:44 UTC</t>
  </si>
  <si>
    <t>dcm4che</t>
  </si>
  <si>
    <t>Dedoose</t>
  </si>
  <si>
    <t>02/05/2024 at 01:41:13 UTC</t>
  </si>
  <si>
    <t>DefendX Software</t>
  </si>
  <si>
    <t>03/29/2023 at 03:18:47 UTC</t>
  </si>
  <si>
    <t>Deister Electronics USA INC</t>
  </si>
  <si>
    <t>Red Rock Software</t>
  </si>
  <si>
    <t>11/08/2024 at 02:03:24 UTC</t>
  </si>
  <si>
    <t>bioMerieux</t>
  </si>
  <si>
    <t>06/03/2024 at 19:06:14 UTC</t>
  </si>
  <si>
    <t>10/31/2024 at 16:35:44 UTC</t>
  </si>
  <si>
    <t>Anodyne</t>
  </si>
  <si>
    <t>10/31/2022 at 18:43:30 UTC</t>
  </si>
  <si>
    <t>DivX</t>
  </si>
  <si>
    <t>04/30/2024 at 17:14:34 UTC</t>
  </si>
  <si>
    <t>dom4j</t>
  </si>
  <si>
    <t>02/12/2024 at 20:36:23 UTC</t>
  </si>
  <si>
    <t>10/31/2024 at 16:35:42 UTC</t>
  </si>
  <si>
    <t>09/28/2022 at 01:40:47 UTC</t>
  </si>
  <si>
    <t>01/11/2024 at 16:12:22 UTC</t>
  </si>
  <si>
    <t>02/28/2023 at 03:24:29 UTC</t>
  </si>
  <si>
    <t>12/10/2024 at 18:07:41 UTC</t>
  </si>
  <si>
    <t>04/25/2024 at 15:08:44 UTC</t>
  </si>
  <si>
    <t>03/29/2024 at 02:26:04 UTC</t>
  </si>
  <si>
    <t>D-Scope Systems</t>
  </si>
  <si>
    <t>10/04/2023 at 14:58:26 UTC</t>
  </si>
  <si>
    <t>01/20/2023 at 19:57:14 UTC</t>
  </si>
  <si>
    <t>12/19/2024 at 15:06:48 UTC</t>
  </si>
  <si>
    <t>11/02/2022 at 04:10:25 UTC</t>
  </si>
  <si>
    <t>11/25/2024 at 18:02:02 UTC</t>
  </si>
  <si>
    <t>EasyPower</t>
  </si>
  <si>
    <t>11/26/2024 at 15:08:20 UTC</t>
  </si>
  <si>
    <t>Easy Worship</t>
  </si>
  <si>
    <t>LiveScribe</t>
  </si>
  <si>
    <t>10/30/2024 at 15:24:44 UTC</t>
  </si>
  <si>
    <t>01/18/2024 at 02:50:15 UTC</t>
  </si>
  <si>
    <t>Just Great Software</t>
  </si>
  <si>
    <t>05/06/2024 at 17:36:26 UTC</t>
  </si>
  <si>
    <t>Elpas</t>
  </si>
  <si>
    <t>Ergotron</t>
  </si>
  <si>
    <t>Electa</t>
  </si>
  <si>
    <t>01/20/2023 at 19:57:15 UTC</t>
  </si>
  <si>
    <t>Calyx</t>
  </si>
  <si>
    <t>Mandeeps</t>
  </si>
  <si>
    <t>09/19/2024 at 17:25:23 UTC</t>
  </si>
  <si>
    <t>06/03/2024 at 19:06:15 UTC</t>
  </si>
  <si>
    <t>dvsAnalytics</t>
  </si>
  <si>
    <t>02/02/2023 at 18:46:42 UTC</t>
  </si>
  <si>
    <t>Endicia</t>
  </si>
  <si>
    <t>09/17/2024 at 16:21:49 UTC</t>
  </si>
  <si>
    <t>EndoSoft</t>
  </si>
  <si>
    <t>07/17/2024 at 16:03:15 UTC</t>
  </si>
  <si>
    <t>10/14/2024 at 01:22:52 UTC</t>
  </si>
  <si>
    <t>AGFA HealthCare</t>
  </si>
  <si>
    <t>11/15/2023 at 19:03:06 UTC</t>
  </si>
  <si>
    <t>ESChat</t>
  </si>
  <si>
    <t>05/01/2024 at 19:32:15 UTC</t>
  </si>
  <si>
    <t>M/Gateway Developments Ltd</t>
  </si>
  <si>
    <t>12/03/2020 at 22:38:30 UTC</t>
  </si>
  <si>
    <t>ImageWare Systems</t>
  </si>
  <si>
    <t>Interactive Performance Technologies (IPT)</t>
  </si>
  <si>
    <t>02/12/2024 at 20:36:37 UTC</t>
  </si>
  <si>
    <t>Erlang</t>
  </si>
  <si>
    <t>10/12/2023 at 19:34:45 UTC</t>
  </si>
  <si>
    <t>erwin</t>
  </si>
  <si>
    <t>Accruent</t>
  </si>
  <si>
    <t>12/09/2022 at 19:30:32 UTC</t>
  </si>
  <si>
    <t>Voidtools</t>
  </si>
  <si>
    <t>03/19/2024 at 00:47:23 UTC</t>
  </si>
  <si>
    <t>Evoluent</t>
  </si>
  <si>
    <t>10/14/2024 at 01:23:15 UTC</t>
  </si>
  <si>
    <t>PeopleCert</t>
  </si>
  <si>
    <t>06/06/2024 at 16:17:53 UTC</t>
  </si>
  <si>
    <t>Expert-24</t>
  </si>
  <si>
    <t>10/13/2022 at 21:20:23 UTC</t>
  </si>
  <si>
    <t>NCH Software</t>
  </si>
  <si>
    <t>01/12/2023 at 16:47:32 UTC</t>
  </si>
  <si>
    <t>05/30/2024 at 02:59:21 UTC</t>
  </si>
  <si>
    <t>12/20/2022 at 21:00:37 UTC</t>
  </si>
  <si>
    <t>Wattle Software</t>
  </si>
  <si>
    <t>09/21/2022 at 02:04:20 UTC</t>
  </si>
  <si>
    <t>Eaglet Eye</t>
  </si>
  <si>
    <t>03/27/2024 at 01:49:32 UTC</t>
  </si>
  <si>
    <t>Haag-Streit Diagnostics</t>
  </si>
  <si>
    <t>10/25/2023 at 03:34:42 UTC</t>
  </si>
  <si>
    <t>Hytrol</t>
  </si>
  <si>
    <t>10/18/2024 at 17:34:28 UTC</t>
  </si>
  <si>
    <t>F5</t>
  </si>
  <si>
    <t>12/27/2024 at 23:58:30 UTC</t>
  </si>
  <si>
    <t>09/26/2024 at 17:51:06 UTC</t>
  </si>
  <si>
    <t>Bittium</t>
  </si>
  <si>
    <t>Fiery, LLC</t>
  </si>
  <si>
    <t>09/25/2024 at 01:50:19 UTC</t>
  </si>
  <si>
    <t>Claris</t>
  </si>
  <si>
    <t>07/25/2024 at 14:42:59 UTC</t>
  </si>
  <si>
    <t>FileZilla</t>
  </si>
  <si>
    <t>10/10/2024 at 02:06:12 UTC</t>
  </si>
  <si>
    <t>FireDaemon</t>
  </si>
  <si>
    <t>Firely Team</t>
  </si>
  <si>
    <t>02/06/2024 at 02:01:19 UTC</t>
  </si>
  <si>
    <t>Edwards Fire Safety</t>
  </si>
  <si>
    <t>12/06/2023 at 02:43:58 UTC</t>
  </si>
  <si>
    <t>FDB First Databank</t>
  </si>
  <si>
    <t>03/14/2024 at 16:06:27 UTC</t>
  </si>
  <si>
    <t>The Pallets Projects</t>
  </si>
  <si>
    <t>11/26/2024 at 15:08:08 UTC</t>
  </si>
  <si>
    <t>Fluke</t>
  </si>
  <si>
    <t>09/12/2024 at 16:58:28 UTC</t>
  </si>
  <si>
    <t>FM:Systems</t>
  </si>
  <si>
    <t>01/18/2024 at 17:17:10 UTC</t>
  </si>
  <si>
    <t>Key Metric Software LLC</t>
  </si>
  <si>
    <t>FTR Limited</t>
  </si>
  <si>
    <t>Foxit Software</t>
  </si>
  <si>
    <t>01/18/2024 at 17:17:14 UTC</t>
  </si>
  <si>
    <t>FreeFileSync</t>
  </si>
  <si>
    <t>01/30/2024 at 00:09:28 UTC</t>
  </si>
  <si>
    <t>11/29/2024 at 21:12:09 UTC</t>
  </si>
  <si>
    <t>Abbott Diabetes Care</t>
  </si>
  <si>
    <t>04/01/2024 at 02:11:19 UTC</t>
  </si>
  <si>
    <t>DEXIS</t>
  </si>
  <si>
    <t>02/21/2023 at 19:00:05 UTC</t>
  </si>
  <si>
    <t>Geneious</t>
  </si>
  <si>
    <t>12/20/2022 at 21:00:38 UTC</t>
  </si>
  <si>
    <t>genetech</t>
  </si>
  <si>
    <t>01/09/2024 at 23:35:37 UTC</t>
  </si>
  <si>
    <t>Oticon Medical</t>
  </si>
  <si>
    <t>GenoPro</t>
  </si>
  <si>
    <t>Gerber Technology</t>
  </si>
  <si>
    <t>04/19/2024 at 03:49:23 UTC</t>
  </si>
  <si>
    <t>Gigamon</t>
  </si>
  <si>
    <t>11/02/2023 at 18:48:02 UTC</t>
  </si>
  <si>
    <t>05/20/2024 at 17:25:09 UTC</t>
  </si>
  <si>
    <t>GIMP</t>
  </si>
  <si>
    <t>09/23/2024 at 17:31:22 UTC</t>
  </si>
  <si>
    <t>10/25/2024 at 15:59:22 UTC</t>
  </si>
  <si>
    <t>GraphPad Software</t>
  </si>
  <si>
    <t>10/17/2023 at 15:01:10 UTC</t>
  </si>
  <si>
    <t>Graylog</t>
  </si>
  <si>
    <t>11/29/2023 at 19:30:00 UTC</t>
  </si>
  <si>
    <t>Copeland</t>
  </si>
  <si>
    <t>08/28/2024 at 17:43:08 UTC</t>
  </si>
  <si>
    <t>Hazelcast</t>
  </si>
  <si>
    <t>Helios Software Solutions</t>
  </si>
  <si>
    <t>Digi-Trax Corporation</t>
  </si>
  <si>
    <t>Lynx</t>
  </si>
  <si>
    <t>04/19/2024 at 03:49:28 UTC</t>
  </si>
  <si>
    <t>04/19/2024 at 03:49:26 UTC</t>
  </si>
  <si>
    <t>09/23/2024 at 17:31:19 UTC</t>
  </si>
  <si>
    <t>02/16/2024 at 17:19:43 UTC</t>
  </si>
  <si>
    <t>SideFX</t>
  </si>
  <si>
    <t>05/14/2024 at 21:22:58 UTC</t>
  </si>
  <si>
    <t>Carrier United Technology</t>
  </si>
  <si>
    <t>07/10/2024 at 12:15:40 UTC</t>
  </si>
  <si>
    <t>HPE</t>
  </si>
  <si>
    <t>Workplace Integra</t>
  </si>
  <si>
    <t>01/04/2024 at 03:41:36 UTC</t>
  </si>
  <si>
    <t>Carl Zeiss Meditec</t>
  </si>
  <si>
    <t>06/03/2024 at 19:06:08 UTC</t>
  </si>
  <si>
    <t>HyperScience</t>
  </si>
  <si>
    <t>iCal4j</t>
  </si>
  <si>
    <t>Jerome Haltom</t>
  </si>
  <si>
    <t>03/22/2023 at 16:47:08 UTC</t>
  </si>
  <si>
    <t>Panasonic</t>
  </si>
  <si>
    <t>11/22/2022 at 22:30:48 UTC</t>
  </si>
  <si>
    <t>ImageMagick Studio LLC</t>
  </si>
  <si>
    <t>09/26/2024 at 17:51:23 UTC</t>
  </si>
  <si>
    <t>TOPCON</t>
  </si>
  <si>
    <t>Cytiva</t>
  </si>
  <si>
    <t>10/29/2024 at 19:18:19 UTC</t>
  </si>
  <si>
    <t>09/24/2024 at 16:21:59 UTC</t>
  </si>
  <si>
    <t>Monnit</t>
  </si>
  <si>
    <t>Lumenera Corporation</t>
  </si>
  <si>
    <t>Millisecond Software</t>
  </si>
  <si>
    <t>iMedRIS</t>
  </si>
  <si>
    <t>Broad Institute</t>
  </si>
  <si>
    <t>11/22/2023 at 14:50:50 UTC</t>
  </si>
  <si>
    <t>Nartac Software</t>
  </si>
  <si>
    <t>11/16/2023 at 20:31:18 UTC</t>
  </si>
  <si>
    <t>05/22/2024 at 16:13:47 UTC</t>
  </si>
  <si>
    <t>Amano McGann</t>
  </si>
  <si>
    <t>06/07/2024 at 18:33:14 UTC</t>
  </si>
  <si>
    <t>Sonova</t>
  </si>
  <si>
    <t>03/07/2023 at 03:16:06 UTC</t>
  </si>
  <si>
    <t>iRise</t>
  </si>
  <si>
    <t>iViews Imaging System, LLC</t>
  </si>
  <si>
    <t>OWASP</t>
  </si>
  <si>
    <t>02/02/2023 at 18:46:51 UTC</t>
  </si>
  <si>
    <t>Tanuki</t>
  </si>
  <si>
    <t>Java Community Process</t>
  </si>
  <si>
    <t>03/14/2024 at 16:06:22 UTC</t>
  </si>
  <si>
    <t>JogAmp</t>
  </si>
  <si>
    <t>James Perkins</t>
  </si>
  <si>
    <t>11/09/2023 at 02:15:41 UTC</t>
  </si>
  <si>
    <t>10/10/2022 at 19:58:55 UTC</t>
  </si>
  <si>
    <t>Jenkins</t>
  </si>
  <si>
    <t>02/02/2023 at 18:46:50 UTC</t>
  </si>
  <si>
    <t>FORTRA</t>
  </si>
  <si>
    <t>12/09/2022 at 20:10:41 UTC</t>
  </si>
  <si>
    <t>Kevin Decker</t>
  </si>
  <si>
    <t>04/24/2024 at 18:28:19 UTC</t>
  </si>
  <si>
    <t>JumpMind</t>
  </si>
  <si>
    <t>09/25/2024 at 01:50:22 UTC</t>
  </si>
  <si>
    <t>JUnit</t>
  </si>
  <si>
    <t>11/07/2023 at 17:12:44 UTC</t>
  </si>
  <si>
    <t>Justinmind</t>
  </si>
  <si>
    <t>08/27/2024 at 15:30:47 UTC</t>
  </si>
  <si>
    <t>The Jython Project</t>
  </si>
  <si>
    <t>06/27/2024 at 17:09:38 UTC</t>
  </si>
  <si>
    <t>Synergy Software</t>
  </si>
  <si>
    <t>Beckman Coulter Life Sciences</t>
  </si>
  <si>
    <t>Karma</t>
  </si>
  <si>
    <t>07/01/2024 at 15:53:15 UTC</t>
  </si>
  <si>
    <t>05/07/2024 at 03:25:22 UTC</t>
  </si>
  <si>
    <t>Components4Developers</t>
  </si>
  <si>
    <t>Kentico Software</t>
  </si>
  <si>
    <t>Key Wizard</t>
  </si>
  <si>
    <t>07/15/2024 at 19:50:17 UTC</t>
  </si>
  <si>
    <t>Best Access Systems (Stanley Security Solutions)</t>
  </si>
  <si>
    <t>07/15/2024 at 19:50:18 UTC</t>
  </si>
  <si>
    <t>Kinovea</t>
  </si>
  <si>
    <t>12/06/2024 at 12:55:11 UTC</t>
  </si>
  <si>
    <t>Kodak Alaris</t>
  </si>
  <si>
    <t>11/25/2024 at 18:02:53 UTC</t>
  </si>
  <si>
    <t>Koerber</t>
  </si>
  <si>
    <t>05/16/2024 at 15:53:24 UTC</t>
  </si>
  <si>
    <t>KNIME</t>
  </si>
  <si>
    <t>Kurzweil Education</t>
  </si>
  <si>
    <t>11/08/2024 at 02:03:33 UTC</t>
  </si>
  <si>
    <t>Lantronix</t>
  </si>
  <si>
    <t>02/12/2024 at 20:36:38 UTC</t>
  </si>
  <si>
    <t>LaunchDarkly</t>
  </si>
  <si>
    <t>02/27/2024 at 03:19:51 UTC</t>
  </si>
  <si>
    <t>Laurel Bridge Software</t>
  </si>
  <si>
    <t>08/28/2024 at 17:43:17 UTC</t>
  </si>
  <si>
    <t>04/18/2024 at 18:19:37 UTC</t>
  </si>
  <si>
    <t>Leica Microsystems</t>
  </si>
  <si>
    <t>11/02/2023 at 19:33:57 UTC</t>
  </si>
  <si>
    <t>Sawtooth Software</t>
  </si>
  <si>
    <t>11/28/2023 at 19:44:24 UTC</t>
  </si>
  <si>
    <t>The LimeSurvey Project</t>
  </si>
  <si>
    <t>CDC</t>
  </si>
  <si>
    <t>Bastian Kleineidam</t>
  </si>
  <si>
    <t>12/06/2022 at 02:47:01 UTC</t>
  </si>
  <si>
    <t>Fluke Networks</t>
  </si>
  <si>
    <t>10/18/2024 at 18:16:18 UTC</t>
  </si>
  <si>
    <t>Mach7 Technologies</t>
  </si>
  <si>
    <t>08/27/2024 at 02:02:48 UTC</t>
  </si>
  <si>
    <t>Bartels Media GmbH</t>
  </si>
  <si>
    <t>02/02/2023 at 18:46:43 UTC</t>
  </si>
  <si>
    <t>MagView</t>
  </si>
  <si>
    <t>04/01/2024 at 02:08:16 UTC</t>
  </si>
  <si>
    <t>Wolfram Research</t>
  </si>
  <si>
    <t>Wiris</t>
  </si>
  <si>
    <t>MathWorks</t>
  </si>
  <si>
    <t>07/10/2024 at 12:15:36 UTC</t>
  </si>
  <si>
    <t>07/19/2024 at 16:33:48 UTC</t>
  </si>
  <si>
    <t>09/29/2023 at 18:28:10 UTC</t>
  </si>
  <si>
    <t>MedCalc Software</t>
  </si>
  <si>
    <t>05/07/2024 at 03:25:23 UTC</t>
  </si>
  <si>
    <t>Wikimedia Foundation</t>
  </si>
  <si>
    <t>12/15/2023 at 19:32:50 UTC</t>
  </si>
  <si>
    <t>Medicalholodeck</t>
  </si>
  <si>
    <t>10/14/2024 at 01:22:54 UTC</t>
  </si>
  <si>
    <t>ARxIUM</t>
  </si>
  <si>
    <t>11/28/2023 at 19:44:27 UTC</t>
  </si>
  <si>
    <t>Netalytics</t>
  </si>
  <si>
    <t>10/25/2023 at 03:34:41 UTC</t>
  </si>
  <si>
    <t>01/30/2024 at 01:10:00 UTC</t>
  </si>
  <si>
    <t xml:space="preserve">MicroDicom	</t>
  </si>
  <si>
    <t>03/11/2024 at 14:14:17 UTC</t>
  </si>
  <si>
    <t>04/11/2023 at 02:19:05 UTC</t>
  </si>
  <si>
    <t>02/27/2024 at 03:43:30 UTC</t>
  </si>
  <si>
    <t>11/28/2022 at 18:09:19 UTC</t>
  </si>
  <si>
    <t>02/16/2024 at 17:19:44 UTC</t>
  </si>
  <si>
    <t>01/18/2024 at 18:39:04 UTC</t>
  </si>
  <si>
    <t>11/14/2024 at 18:51:16 UTC</t>
  </si>
  <si>
    <t>01/25/2024 at 01:34:17 UTC</t>
  </si>
  <si>
    <t>02/12/2024 at 20:36:41 UTC</t>
  </si>
  <si>
    <t>02/23/2024 at 14:30:54 UTC</t>
  </si>
  <si>
    <t>01/18/2024 at 18:39:10 UTC</t>
  </si>
  <si>
    <t>12/04/2018 at 13:07:41 UTC</t>
  </si>
  <si>
    <t>Powervar</t>
  </si>
  <si>
    <t>11/15/2024 at 21:35:12 UTC</t>
  </si>
  <si>
    <t>Securitas Healthcare</t>
  </si>
  <si>
    <t>04/16/2024 at 15:23:31 UTC</t>
  </si>
  <si>
    <t>OpenJS Foundation</t>
  </si>
  <si>
    <t>09/14/2022 at 19:24:09 UTC</t>
  </si>
  <si>
    <t>Mockito</t>
  </si>
  <si>
    <t>01/18/2024 at 17:17:18 UTC</t>
  </si>
  <si>
    <t>Elekta</t>
  </si>
  <si>
    <t>02/02/2024 at 03:08:00 UTC</t>
  </si>
  <si>
    <t>MVEL</t>
  </si>
  <si>
    <t>01/05/2023 at 01:51:04 UTC</t>
  </si>
  <si>
    <t>IBA Dosimetry</t>
  </si>
  <si>
    <t>Navy Personnel Command</t>
  </si>
  <si>
    <t>12/12/2023 at 12:58:56 UTC</t>
  </si>
  <si>
    <t>01/03/2024 at 04:39:49 UTC</t>
  </si>
  <si>
    <t>02/15/2024 at 20:11:03 UTC</t>
  </si>
  <si>
    <t>05/07/2024 at 03:25:30 UTC</t>
  </si>
  <si>
    <t>Northwestern University Center for Connected Learning and Computer-Based Modeling</t>
  </si>
  <si>
    <t>09/29/2022 at 16:40:22 UTC</t>
  </si>
  <si>
    <t>Nihon Kohden</t>
  </si>
  <si>
    <t>11/29/2023 at 19:44:39 UTC</t>
  </si>
  <si>
    <t>NICE Systems</t>
  </si>
  <si>
    <t>10/20/2022 at 15:34:21 UTC</t>
  </si>
  <si>
    <t>Duane Edwards</t>
  </si>
  <si>
    <t>nTop</t>
  </si>
  <si>
    <t>10/19/2023 at 16:29:32 UTC</t>
  </si>
  <si>
    <t>11/27/2024 at 00:44:21 UTC</t>
  </si>
  <si>
    <t>04/25/2024 at 15:08:42 UTC</t>
  </si>
  <si>
    <t>NCSS Statistical Software</t>
  </si>
  <si>
    <t>01/25/2024 at 01:34:42 UTC</t>
  </si>
  <si>
    <t>10/10/2023 at 16:08:26 UTC</t>
  </si>
  <si>
    <t>NV Access</t>
  </si>
  <si>
    <t>NXLog</t>
  </si>
  <si>
    <t>12/29/2023 at 15:28:42 UTC</t>
  </si>
  <si>
    <t>3com</t>
  </si>
  <si>
    <t>03/30/2023 at 19:17:52 UTC</t>
  </si>
  <si>
    <t>Tyler Technologies</t>
  </si>
  <si>
    <t>02/22/2023 at 19:05:54 UTC</t>
  </si>
  <si>
    <t>Direct Project Initiative</t>
  </si>
  <si>
    <t>03/27/2023 at 15:43:24 UTC</t>
  </si>
  <si>
    <t>Office Timeline</t>
  </si>
  <si>
    <t>09/12/2024 at 16:58:27 UTC</t>
  </si>
  <si>
    <t>VisioPharm</t>
  </si>
  <si>
    <t>OpenLDAP Foundation</t>
  </si>
  <si>
    <t>06/18/2024 at 16:24:59 UTC</t>
  </si>
  <si>
    <t>OWIN Working Group</t>
  </si>
  <si>
    <t>01/23/2024 at 01:30:45 UTC</t>
  </si>
  <si>
    <t>Django Software Foundation</t>
  </si>
  <si>
    <t>05/06/2024 at 17:36:22 UTC</t>
  </si>
  <si>
    <t>09/23/2024 at 17:08:26 UTC</t>
  </si>
  <si>
    <t>11/09/2023 at 02:15:43 UTC</t>
  </si>
  <si>
    <t>01/02/2025 at 19:25:01 UTC</t>
  </si>
  <si>
    <t>10/28/2024 at 23:36:43 UTC</t>
  </si>
  <si>
    <t>09/16/2024 at 00:52:52 UTC</t>
  </si>
  <si>
    <t>OriginLab</t>
  </si>
  <si>
    <t>12/06/2023 at 02:43:51 UTC</t>
  </si>
  <si>
    <t>GN Otometrics</t>
  </si>
  <si>
    <t>dotPDN</t>
  </si>
  <si>
    <t>Panorama</t>
  </si>
  <si>
    <t>02/21/2023 at 19:00:04 UTC</t>
  </si>
  <si>
    <t>Readdle</t>
  </si>
  <si>
    <t>05/01/2023 at 00:57:26 UTC</t>
  </si>
  <si>
    <t>05/14/2024 at 01:26:17 UTC</t>
  </si>
  <si>
    <t>Topaz Systems</t>
  </si>
  <si>
    <t>10/25/2024 at 15:59:25 UTC</t>
  </si>
  <si>
    <t>Eric Zimmerman</t>
  </si>
  <si>
    <t>09/25/2024 at 01:50:27 UTC</t>
  </si>
  <si>
    <t>Peer Software</t>
  </si>
  <si>
    <t>SwitchLane</t>
  </si>
  <si>
    <t>PERRLA, LLC</t>
  </si>
  <si>
    <t>02/12/2024 at 20:36:47 UTC</t>
  </si>
  <si>
    <t>pgAdmin</t>
  </si>
  <si>
    <t>12/14/2023 at 13:36:49 UTC</t>
  </si>
  <si>
    <t>05/08/2024 at 13:47:55 UTC</t>
  </si>
  <si>
    <t>Unified FX Ltd,</t>
  </si>
  <si>
    <t>07/19/2024 at 16:34:02 UTC</t>
  </si>
  <si>
    <t>Picis Clinical Solutions</t>
  </si>
  <si>
    <t>01/10/2024 at 21:11:24 UTC</t>
  </si>
  <si>
    <t>07/25/2024 at 14:43:00 UTC</t>
  </si>
  <si>
    <t>PIPE-FLO Software</t>
  </si>
  <si>
    <t>07/25/2024 at 14:43:03 UTC</t>
  </si>
  <si>
    <t>Artel</t>
  </si>
  <si>
    <t>12/14/2022 at 23:22:55 UTC</t>
  </si>
  <si>
    <t>Planmeca</t>
  </si>
  <si>
    <t>02/06/2024 at 02:01:28 UTC</t>
  </si>
  <si>
    <t>Open Steno Project</t>
  </si>
  <si>
    <t>Poll Everywhere</t>
  </si>
  <si>
    <t>Megaputer</t>
  </si>
  <si>
    <t>03/27/2024 at 02:56:33 UTC</t>
  </si>
  <si>
    <t>Muhimbi</t>
  </si>
  <si>
    <t>11/04/2022 at 01:37:24 UTC</t>
  </si>
  <si>
    <t>Real Objects GmBH</t>
  </si>
  <si>
    <t>05/03/2023 at 03:31:38 UTC</t>
  </si>
  <si>
    <t>09/09/2024 at 15:24:21 UTC</t>
  </si>
  <si>
    <t>BI Connector</t>
  </si>
  <si>
    <t>10/04/2024 at 17:13:13 UTC</t>
  </si>
  <si>
    <t>11/30/2022 at 02:56:23 UTC</t>
  </si>
  <si>
    <t>Re:Discovery Software</t>
  </si>
  <si>
    <t>03/11/2024 at 14:14:34 UTC</t>
  </si>
  <si>
    <t>Profit Fab</t>
  </si>
  <si>
    <t>Agency for Healthcare Research and Quality</t>
  </si>
  <si>
    <t>10/14/2024 at 01:23:23 UTC</t>
  </si>
  <si>
    <t>Stanford Center for Biomedical Informatics Research</t>
  </si>
  <si>
    <t>09/21/2022 at 02:03:49 UTC</t>
  </si>
  <si>
    <t>Provar</t>
  </si>
  <si>
    <t>Jeron Electronic Systems, Inc</t>
  </si>
  <si>
    <t>11/07/2023 at 17:12:43 UTC</t>
  </si>
  <si>
    <t>05/24/2024 at 16:48:49 UTC</t>
  </si>
  <si>
    <t>GNU</t>
  </si>
  <si>
    <t>04/08/2024 at 14:58:03 UTC</t>
  </si>
  <si>
    <t>Puppet by Perforce</t>
  </si>
  <si>
    <t>12/20/2024 at 22:31:42 UTC</t>
  </si>
  <si>
    <t>Bio-Rad Laboratories</t>
  </si>
  <si>
    <t>ACF</t>
  </si>
  <si>
    <t>02/22/2024 at 03:38:33 UTC</t>
  </si>
  <si>
    <t>KnowWare International</t>
  </si>
  <si>
    <t>03/13/2024 at 17:16:58 UTC</t>
  </si>
  <si>
    <t>QSC</t>
  </si>
  <si>
    <t>08/27/2024 at 15:28:17 UTC</t>
  </si>
  <si>
    <t>09/27/2024 at 16:28:41 UTC</t>
  </si>
  <si>
    <t>02/16/2024 at 17:19:58 UTC</t>
  </si>
  <si>
    <t>QBS Software Limited</t>
  </si>
  <si>
    <t>12/21/2023 at 21:23:18 UTC</t>
  </si>
  <si>
    <t>Qvera</t>
  </si>
  <si>
    <t>Radformation</t>
  </si>
  <si>
    <t>05/18/2023 at 15:33:32 UTC</t>
  </si>
  <si>
    <t>Bayer HealthCare LLC</t>
  </si>
  <si>
    <t>10/25/2024 at 15:59:10 UTC</t>
  </si>
  <si>
    <t>Codan Radio</t>
  </si>
  <si>
    <t>10/24/2023 at 01:34:10 UTC</t>
  </si>
  <si>
    <t>Red Lion</t>
  </si>
  <si>
    <t>07/15/2024 at 19:06:16 UTC</t>
  </si>
  <si>
    <t>08/27/2024 at 02:03:04 UTC</t>
  </si>
  <si>
    <t>01/24/2024 at 03:40:29 UTC</t>
  </si>
  <si>
    <t>Zoll</t>
  </si>
  <si>
    <t>United States Corps of Engineers</t>
  </si>
  <si>
    <t>Resilio</t>
  </si>
  <si>
    <t>11/14/2024 at 18:51:17 UTC</t>
  </si>
  <si>
    <t>ResMed</t>
  </si>
  <si>
    <t>11/25/2024 at 18:03:02 UTC</t>
  </si>
  <si>
    <t>Orion Health</t>
  </si>
  <si>
    <t>10/13/2022 at 21:20:21 UTC</t>
  </si>
  <si>
    <t>12/26/2024 at 22:35:52 UTC</t>
  </si>
  <si>
    <t>VOSPV LLC</t>
  </si>
  <si>
    <t>Roche</t>
  </si>
  <si>
    <t>10/28/2023 at 03:30:55 UTC</t>
  </si>
  <si>
    <t>RStudio</t>
  </si>
  <si>
    <t>11/03/2022 at 01:45:49 UTC</t>
  </si>
  <si>
    <t>Rust</t>
  </si>
  <si>
    <t>06/21/2024 at 02:48:50 UTC</t>
  </si>
  <si>
    <t>Westrock Solutions, LLC</t>
  </si>
  <si>
    <t>02/22/2024 at 03:38:34 UTC</t>
  </si>
  <si>
    <t>Eric Woodruff</t>
  </si>
  <si>
    <t>03/27/2023 at 15:43:22 UTC</t>
  </si>
  <si>
    <t>04/01/2024 at 02:11:16 UTC</t>
  </si>
  <si>
    <t>SaTScan</t>
  </si>
  <si>
    <t>08/28/2024 at 17:43:13 UTC</t>
  </si>
  <si>
    <t>Xytech</t>
  </si>
  <si>
    <t>05/24/2024 at 16:48:59 UTC</t>
  </si>
  <si>
    <t>En-Vision America</t>
  </si>
  <si>
    <t>10/03/2023 at 15:45:25 UTC</t>
  </si>
  <si>
    <t>seca</t>
  </si>
  <si>
    <t>03/29/2024 at 02:26:10 UTC</t>
  </si>
  <si>
    <t>VanDyke Software</t>
  </si>
  <si>
    <t>Defense Information Systems Agency</t>
  </si>
  <si>
    <t>09/26/2024 at 17:51:21 UTC</t>
  </si>
  <si>
    <t>09/21/2022 at 02:04:12 UTC</t>
  </si>
  <si>
    <t>Insight Software Solutions</t>
  </si>
  <si>
    <t>Inpixon</t>
  </si>
  <si>
    <t>02/14/2023 at 03:11:04 UTC</t>
  </si>
  <si>
    <t>SigmaXL</t>
  </si>
  <si>
    <t>11/29/2024 at 20:47:29 UTC</t>
  </si>
  <si>
    <t>Cambridge Electronic Design</t>
  </si>
  <si>
    <t>Prosystech</t>
  </si>
  <si>
    <t>08/01/2024 at 15:53:39 UTC</t>
  </si>
  <si>
    <t>Simplex</t>
  </si>
  <si>
    <t>Education Management Solutions</t>
  </si>
  <si>
    <t>09/24/2024 at 16:22:06 UTC</t>
  </si>
  <si>
    <t>JSD Software</t>
  </si>
  <si>
    <t>08/27/2024 at 15:30:32 UTC</t>
  </si>
  <si>
    <t>Skyhigh Security</t>
  </si>
  <si>
    <t>Ben Carrier</t>
  </si>
  <si>
    <t>09/21/2022 at 02:03:48 UTC</t>
  </si>
  <si>
    <t>Seiko Instruments</t>
  </si>
  <si>
    <t>11/14/2023 at 14:00:15 UTC</t>
  </si>
  <si>
    <t>SmartPLS</t>
  </si>
  <si>
    <t>07/03/2024 at 19:34:07 UTC</t>
  </si>
  <si>
    <t>InterSect Alliance</t>
  </si>
  <si>
    <t>Softeon</t>
  </si>
  <si>
    <t>04/01/2024 at 02:09:06 UTC</t>
  </si>
  <si>
    <t>02/15/2024 at 23:04:02 UTC</t>
  </si>
  <si>
    <t>02/15/2024 at 23:04:07 UTC</t>
  </si>
  <si>
    <t>02/14/2024 at 03:26:28 UTC</t>
  </si>
  <si>
    <t>02/15/2024 at 20:10:59 UTC</t>
  </si>
  <si>
    <t>07/12/2024 at 02:55:58 UTC</t>
  </si>
  <si>
    <t>02/14/2024 at 03:26:25 UTC</t>
  </si>
  <si>
    <t>02/15/2024 at 20:10:56 UTC</t>
  </si>
  <si>
    <t>02/15/2024 at 20:11:01 UTC</t>
  </si>
  <si>
    <t>02/15/2024 at 23:04:22 UTC</t>
  </si>
  <si>
    <t>09/26/2022 at 02:04:25 UTC</t>
  </si>
  <si>
    <t>Sparx Systems</t>
  </si>
  <si>
    <t>01/25/2024 at 01:33:19 UTC</t>
  </si>
  <si>
    <t>10/29/2024 at 19:18:10 UTC</t>
  </si>
  <si>
    <t>03/08/2023 at 02:40:30 UTC</t>
  </si>
  <si>
    <t>Splunk</t>
  </si>
  <si>
    <t>07/01/2024 at 15:53:12 UTC</t>
  </si>
  <si>
    <t>SPOK</t>
  </si>
  <si>
    <t>12/27/2024 at 23:58:31 UTC</t>
  </si>
  <si>
    <t>Red Gate</t>
  </si>
  <si>
    <t>SQLite</t>
  </si>
  <si>
    <t>Starburst</t>
  </si>
  <si>
    <t>01/07/2025 at 01:25:05 UTC</t>
  </si>
  <si>
    <t>01/07/2025 at 01:25:06 UTC</t>
  </si>
  <si>
    <t>SigmaZone</t>
  </si>
  <si>
    <t>11/02/2023 at 18:48:01 UTC</t>
  </si>
  <si>
    <t>05/09/2023 at 19:44:08 UTC</t>
  </si>
  <si>
    <t>10/10/2022 at 19:58:53 UTC</t>
  </si>
  <si>
    <t>12/21/2023 at 21:23:21 UTC</t>
  </si>
  <si>
    <t>11/28/2023 at 19:44:28 UTC</t>
  </si>
  <si>
    <t>03/14/2024 at 16:06:21 UTC</t>
  </si>
  <si>
    <t>09/14/2022 at 19:24:05 UTC</t>
  </si>
  <si>
    <t>Sublime HQ</t>
  </si>
  <si>
    <t>08/07/2024 at 15:52:38 UTC</t>
  </si>
  <si>
    <t>Cedrus</t>
  </si>
  <si>
    <t>11/04/2022 at 01:37:25 UTC</t>
  </si>
  <si>
    <t>NCI</t>
  </si>
  <si>
    <t>01/25/2024 at 01:33:22 UTC</t>
  </si>
  <si>
    <t>Infiniteblue</t>
  </si>
  <si>
    <t>11/20/2024 at 14:40:16 UTC</t>
  </si>
  <si>
    <t>10/14/2024 at 01:23:26 UTC</t>
  </si>
  <si>
    <t>Clinical Architecture</t>
  </si>
  <si>
    <t>01/31/2023 at 03:11:07 UTC</t>
  </si>
  <si>
    <t>Symetrix Inc</t>
  </si>
  <si>
    <t>04/03/2023 at 19:25:35 UTC</t>
  </si>
  <si>
    <t>The MITRE Corporation</t>
  </si>
  <si>
    <t>Sysmex</t>
  </si>
  <si>
    <t>08/06/2024 at 18:47:23 UTC</t>
  </si>
  <si>
    <t>08/27/2024 at 15:27:30 UTC</t>
  </si>
  <si>
    <t>Haemonetics Corporation</t>
  </si>
  <si>
    <t>02/15/2024 at 20:11:04 UTC</t>
  </si>
  <si>
    <t>08/15/2024 at 17:13:08 UTC</t>
  </si>
  <si>
    <t>TerminalWorks</t>
  </si>
  <si>
    <t>HashiCorp</t>
  </si>
  <si>
    <t>01/25/2024 at 01:33:24 UTC</t>
  </si>
  <si>
    <t>10/13/2022 at 21:20:18 UTC</t>
  </si>
  <si>
    <t>09/25/2024 at 01:50:29 UTC</t>
  </si>
  <si>
    <t>10/20/2022 at 15:01:50 UTC</t>
  </si>
  <si>
    <t>Rogue Wave</t>
  </si>
  <si>
    <t>06/10/2019 at 08:55:07 UTC</t>
  </si>
  <si>
    <t>Stefan Kung</t>
  </si>
  <si>
    <t>01/30/2024 at 01:11:38 UTC</t>
  </si>
  <si>
    <t>TRADEPAQ</t>
  </si>
  <si>
    <t>01/27/2020 at 11:49:11 UTC</t>
  </si>
  <si>
    <t>Traka</t>
  </si>
  <si>
    <t>08/29/2024 at 15:54:47 UTC</t>
  </si>
  <si>
    <t>JAM Software</t>
  </si>
  <si>
    <t>12/27/2023 at 17:41:50 UTC</t>
  </si>
  <si>
    <t>01/18/2024 at 02:53:37 UTC</t>
  </si>
  <si>
    <t>Trividia Health</t>
  </si>
  <si>
    <t>04/19/2024 at 03:49:12 UTC</t>
  </si>
  <si>
    <t>Text Control</t>
  </si>
  <si>
    <t>08/24/2020 at 08:00:14 UTC</t>
  </si>
  <si>
    <t>02/12/2024 at 20:36:29 UTC</t>
  </si>
  <si>
    <t>FDA</t>
  </si>
  <si>
    <t>05/23/2023 at 18:33:01 UTC</t>
  </si>
  <si>
    <t>04/11/2024 at 15:53:21 UTC</t>
  </si>
  <si>
    <t>02/25/2019 at 10:52:53 UTC</t>
  </si>
  <si>
    <t>11/09/2023 at 19:24:11 UTC</t>
  </si>
  <si>
    <t>UPS</t>
  </si>
  <si>
    <t>07/24/2024 at 04:25:04 UTC</t>
  </si>
  <si>
    <t>08/02/2023 at 15:21:13 UTC</t>
  </si>
  <si>
    <t>SunQuest</t>
  </si>
  <si>
    <t>12/06/2022 at 02:46:52 UTC</t>
  </si>
  <si>
    <t>Consensus Medical Systems, Inc</t>
  </si>
  <si>
    <t>12/02/2022 at 03:50:53 UTC</t>
  </si>
  <si>
    <t>Medical Imaging Applications LLC</t>
  </si>
  <si>
    <t>06/18/2024 at 21:37:20 UTC</t>
  </si>
  <si>
    <t>Vectric</t>
  </si>
  <si>
    <t>05/14/2024 at 21:22:57 UTC</t>
  </si>
  <si>
    <t>Vecna Technologies, Inc</t>
  </si>
  <si>
    <t>01/11/2024 at 17:00:48 UTC</t>
  </si>
  <si>
    <t>Daktronics</t>
  </si>
  <si>
    <t>Intelligent Video Solutions</t>
  </si>
  <si>
    <t>Sparkol</t>
  </si>
  <si>
    <t>06/13/2024 at 16:57:14 UTC</t>
  </si>
  <si>
    <t>Nikon</t>
  </si>
  <si>
    <t>02/22/2023 at 19:05:57 UTC</t>
  </si>
  <si>
    <t>USCutter</t>
  </si>
  <si>
    <t>07/03/2024 at 19:34:08 UTC</t>
  </si>
  <si>
    <t>Flooid</t>
  </si>
  <si>
    <t>11/22/2023 at 14:50:51 UTC</t>
  </si>
  <si>
    <t>DSS</t>
  </si>
  <si>
    <t>11/26/2022 at 00:53:38 UTC</t>
  </si>
  <si>
    <t>Visual Paradigm International Limited</t>
  </si>
  <si>
    <t>ViTel Net</t>
  </si>
  <si>
    <t>11/14/2023 at 14:20:57 UTC</t>
  </si>
  <si>
    <t>Vizabli</t>
  </si>
  <si>
    <t>11/22/2023 at 14:59:42 UTC</t>
  </si>
  <si>
    <t>VLogic</t>
  </si>
  <si>
    <t>05/24/2024 at 16:48:56 UTC</t>
  </si>
  <si>
    <t>04/19/2024 at 03:49:21 UTC</t>
  </si>
  <si>
    <t>VB-AUDIO</t>
  </si>
  <si>
    <t>The Paciello Group</t>
  </si>
  <si>
    <t>Automated Logic</t>
  </si>
  <si>
    <t>04/19/2024 at 03:49:29 UTC</t>
  </si>
  <si>
    <t>01/06/2019 at 21:38:33 UTC</t>
  </si>
  <si>
    <t>WinEdt</t>
  </si>
  <si>
    <t>06/21/2024 at 22:00:40 UTC</t>
  </si>
  <si>
    <t>WinSteps</t>
  </si>
  <si>
    <t>09/10/2024 at 15:46:04 UTC</t>
  </si>
  <si>
    <t>WinRecovery</t>
  </si>
  <si>
    <t>12/06/2023 at 02:43:57 UTC</t>
  </si>
  <si>
    <t>11/28/2022 at 02:39:48 UTC</t>
  </si>
  <si>
    <t>Wowza Media Systems, LLC</t>
  </si>
  <si>
    <t>11/14/2024 at 22:59:51 UTC</t>
  </si>
  <si>
    <t>Tilman Hausherr</t>
  </si>
  <si>
    <t>01/30/2024 at 01:11:42 UTC</t>
  </si>
  <si>
    <t>11/17/2022 at 17:08:13 UTC</t>
  </si>
  <si>
    <t>Addinsoft</t>
  </si>
  <si>
    <t>Xstream</t>
  </si>
  <si>
    <t>Zerto</t>
  </si>
  <si>
    <t>Corporation for Digital Scholarship</t>
  </si>
  <si>
    <t>10/31/2024 at 16:35:33 UTC</t>
  </si>
  <si>
    <t>10/05/2022 at 21:48:59 UTC</t>
  </si>
  <si>
    <t>12/21/2023 at 21:14:01 UTC</t>
  </si>
  <si>
    <t>BonitaSoft</t>
  </si>
  <si>
    <t>11/04/2020 at 11:05:39 UTC</t>
  </si>
  <si>
    <t>03/31/2023 at 18:01:29 UTC</t>
  </si>
  <si>
    <t>12/20/2023 at 19:02:54 UTC</t>
  </si>
  <si>
    <t>08/10/2022 at 19:38:21 UTC</t>
  </si>
  <si>
    <t>EpiData Association</t>
  </si>
  <si>
    <t>02/07/2024 at 18:15:10 UTC</t>
  </si>
  <si>
    <t>ORAU</t>
  </si>
  <si>
    <t>09/26/2019 at 19:03:33 UTC</t>
  </si>
  <si>
    <t>04/23/2024 at 15:16:17 UTC</t>
  </si>
  <si>
    <t>fo-dicom contributors</t>
  </si>
  <si>
    <t>11/07/2024 at 19:09:22 UTC</t>
  </si>
  <si>
    <t>02/03/2022 at 16:22:10 UTC</t>
  </si>
  <si>
    <t>09/26/2024 at 17:51:11 UTC</t>
  </si>
  <si>
    <t>09/25/2024 at 01:50:25 UTC</t>
  </si>
  <si>
    <t>Center for Innovative OT Solutions (CIOTS)</t>
  </si>
  <si>
    <t>11/19/2020 at 15:53:49 UTC</t>
  </si>
  <si>
    <t>Automated Business Solutions</t>
  </si>
  <si>
    <t>04/24/2024 at 18:28:24 UTC</t>
  </si>
  <si>
    <t>PhiTools</t>
  </si>
  <si>
    <t>09/21/2022 at 02:03:40 UTC</t>
  </si>
  <si>
    <t>Motion Analysis Corportation</t>
  </si>
  <si>
    <t>11/14/2022 at 17:43:15 UTC</t>
  </si>
  <si>
    <t>Parks Medical Electronics, Inc</t>
  </si>
  <si>
    <t>02/12/2019 at 09:48:43 UTC</t>
  </si>
  <si>
    <t>Stanford Natural Language Processing Group</t>
  </si>
  <si>
    <t>07/06/2021 at 21:19:01 UTC</t>
  </si>
  <si>
    <t>RVB Systems Group</t>
  </si>
  <si>
    <t>NexTalk, Inc.</t>
  </si>
  <si>
    <t>10/14/2024 at 01:23:28 UTC</t>
  </si>
  <si>
    <t>ACD Systems International Inc.</t>
  </si>
  <si>
    <t>07/12/2019 at 13:42:06 UTC</t>
  </si>
  <si>
    <t>Physiologic Instruments, Inc.</t>
  </si>
  <si>
    <t>05/09/2023 at 19:44:12 UTC</t>
  </si>
  <si>
    <t>07/16/2019 at 12:17:05 UTC</t>
  </si>
  <si>
    <t>02/06/2019 at 08:01:54 UTC</t>
  </si>
  <si>
    <t>09/19/2024 at 17:25:10 UTC</t>
  </si>
  <si>
    <t>AKCode LLC</t>
  </si>
  <si>
    <t>08/23/2019 at 14:08:37 UTC</t>
  </si>
  <si>
    <t>04/15/2021 at 14:46:52 UTC</t>
  </si>
  <si>
    <t>Somatic Vision</t>
  </si>
  <si>
    <t>Tigris.org</t>
  </si>
  <si>
    <t>02/02/2024 at 03:13:35 UTC</t>
  </si>
  <si>
    <t>05/29/2020 at 11:23:23 UTC</t>
  </si>
  <si>
    <t>11/27/2019 at 16:17:44 UTC</t>
  </si>
  <si>
    <t>Archibus</t>
  </si>
  <si>
    <t>04/01/2024 at 00:55:47 UTC</t>
  </si>
  <si>
    <t>ask.com</t>
  </si>
  <si>
    <t>Rangle.io</t>
  </si>
  <si>
    <t>02/16/2023 at 18:14:49 UTC</t>
  </si>
  <si>
    <t>XTec</t>
  </si>
  <si>
    <t>Autocene</t>
  </si>
  <si>
    <t>09/28/2020 at 10:28:10 UTC</t>
  </si>
  <si>
    <t>01/23/2024 at 01:30:39 UTC</t>
  </si>
  <si>
    <t>08/19/2019 at 07:36:06 UTC</t>
  </si>
  <si>
    <t>01/24/2024 at 03:40:26 UTC</t>
  </si>
  <si>
    <t>10/15/2021 at 00:39:19 UTC</t>
  </si>
  <si>
    <t>06/28/2019 at 13:56:20 UTC</t>
  </si>
  <si>
    <t>ICSharpCode</t>
  </si>
  <si>
    <t>06/27/2024 at 17:09:30 UTC</t>
  </si>
  <si>
    <t>12/19/2023 at 21:08:11 UTC</t>
  </si>
  <si>
    <t>01/24/2024 at 03:40:54 UTC</t>
  </si>
  <si>
    <t>Online Media Technologies Ltd.</t>
  </si>
  <si>
    <t>06/30/2020 at 15:53:03 UTC</t>
  </si>
  <si>
    <t>07/25/2024 at 14:43:04 UTC</t>
  </si>
  <si>
    <t>Bare Bones Software, Inc.</t>
  </si>
  <si>
    <t>02/09/2021 at 15:02:14 UTC</t>
  </si>
  <si>
    <t>12/05/2022 at 17:52:44 UTC</t>
  </si>
  <si>
    <t>06/08/2020 at 10:34:14 UTC</t>
  </si>
  <si>
    <t>Bitdefender</t>
  </si>
  <si>
    <t>Good Technology, Inc.</t>
  </si>
  <si>
    <t>01/03/2023 at 08:08:44 UTC</t>
  </si>
  <si>
    <t>10/31/2024 at 16:35:41 UTC</t>
  </si>
  <si>
    <t>Tobii Dynavox AB (Publ)</t>
  </si>
  <si>
    <t>11/29/2024 at 20:47:38 UTC</t>
  </si>
  <si>
    <t>Box</t>
  </si>
  <si>
    <t>03/26/2021 at 10:14:20 UTC</t>
  </si>
  <si>
    <t>BrightSign</t>
  </si>
  <si>
    <t>06/06/2024 at 16:17:47 UTC</t>
  </si>
  <si>
    <t>Codework Inc</t>
  </si>
  <si>
    <t>06/05/2020 at 00:37:00 UTC</t>
  </si>
  <si>
    <t>01/20/2023 at 19:57:09 UTC</t>
  </si>
  <si>
    <t>03/03/2020 at 16:13:09 UTC</t>
  </si>
  <si>
    <t>09/10/2019 at 07:59:31 UTC</t>
  </si>
  <si>
    <t>09/21/2022 at 02:04:05 UTC</t>
  </si>
  <si>
    <t>05/16/2024 at 15:53:20 UTC</t>
  </si>
  <si>
    <t>09/11/2024 at 17:28:19 UTC</t>
  </si>
  <si>
    <t>Cairo Graphics</t>
  </si>
  <si>
    <t>10/05/2022 at 00:48:51 UTC</t>
  </si>
  <si>
    <t>U.T. Southwestern Medical Center</t>
  </si>
  <si>
    <t>04/29/2019 at 14:55:11 UTC</t>
  </si>
  <si>
    <t>Application Techniques, Inc.</t>
  </si>
  <si>
    <t>01/14/2021 at 20:19:01 UTC</t>
  </si>
  <si>
    <t>CARE ARTHRITIS LTD.</t>
  </si>
  <si>
    <t>03/27/2024 at 01:49:29 UTC</t>
  </si>
  <si>
    <t>Carta Healthcare</t>
  </si>
  <si>
    <t>06/25/2024 at 15:28:01 UTC</t>
  </si>
  <si>
    <t>10x Genomics</t>
  </si>
  <si>
    <t>11/17/2022 at 01:39:43 UTC</t>
  </si>
  <si>
    <t>Ceph Foundation</t>
  </si>
  <si>
    <t>Chai.js Assertion Library</t>
  </si>
  <si>
    <t>08/18/2022 at 18:58:22 UTC</t>
  </si>
  <si>
    <t>Powder Software Inc.</t>
  </si>
  <si>
    <t>04/23/2020 at 16:11:10 UTC</t>
  </si>
  <si>
    <t>Chef</t>
  </si>
  <si>
    <t>03/14/2024 at 16:04:18 UTC</t>
  </si>
  <si>
    <t>ChemDAQ Inc.</t>
  </si>
  <si>
    <t>chromium.org</t>
  </si>
  <si>
    <t>06/30/2020 at 16:04:57 UTC</t>
  </si>
  <si>
    <t>Chronotron.com</t>
  </si>
  <si>
    <t>08/21/2019 at 07:10:46 UTC</t>
  </si>
  <si>
    <t>02/16/2024 at 17:19:52 UTC</t>
  </si>
  <si>
    <t>12/13/2024 at 19:36:24 UTC</t>
  </si>
  <si>
    <t>HLN Consulting, LLC</t>
  </si>
  <si>
    <t>01/10/2019 at 20:16:19 UTC</t>
  </si>
  <si>
    <t>11/07/2024 at 19:09:14 UTC</t>
  </si>
  <si>
    <t>ComboSyn Inc.</t>
  </si>
  <si>
    <t>08/07/2019 at 11:22:02 UTC</t>
  </si>
  <si>
    <t>04/22/2024 at 17:37:33 UTC</t>
  </si>
  <si>
    <t>TalkBank</t>
  </si>
  <si>
    <t>03/27/2024 at 01:49:33 UTC</t>
  </si>
  <si>
    <t>12/03/2020 at 22:38:31 UTC</t>
  </si>
  <si>
    <t>March-Hare</t>
  </si>
  <si>
    <t>09/07/2022 at 03:32:10 UTC</t>
  </si>
  <si>
    <t>EMC</t>
  </si>
  <si>
    <t>08/21/2019 at 07:10:49 UTC</t>
  </si>
  <si>
    <t>Cormant, Inc.</t>
  </si>
  <si>
    <t>08/26/2022 at 00:53:18 UTC</t>
  </si>
  <si>
    <t>Carestream Medical and Dental</t>
  </si>
  <si>
    <t>Cortechs.ai</t>
  </si>
  <si>
    <t>03/14/2022 at 14:30:04 UTC</t>
  </si>
  <si>
    <t>Ultimaker</t>
  </si>
  <si>
    <t>05/24/2024 at 16:48:51 UTC</t>
  </si>
  <si>
    <t>11/27/2019 at 16:17:50 UTC</t>
  </si>
  <si>
    <t>Graphtec America</t>
  </si>
  <si>
    <t>04/10/2024 at 17:17:05 UTC</t>
  </si>
  <si>
    <t>Cypress</t>
  </si>
  <si>
    <t>09/12/2024 at 16:58:26 UTC</t>
  </si>
  <si>
    <t>Darkroom Software</t>
  </si>
  <si>
    <t>Microtechnologies, Inc.</t>
  </si>
  <si>
    <t>12/06/2023 at 02:43:56 UTC</t>
  </si>
  <si>
    <t>07/11/2022 at 19:58:56 UTC</t>
  </si>
  <si>
    <t>04/14/2022 at 01:40:44 UTC</t>
  </si>
  <si>
    <t>03/01/2024 at 02:18:27 UTC</t>
  </si>
  <si>
    <t>Core Services</t>
  </si>
  <si>
    <t>12/07/2018 at 10:09:35 UTC</t>
  </si>
  <si>
    <t>O.N. Diagnostics</t>
  </si>
  <si>
    <t>10/20/2022 at 15:34:26 UTC</t>
  </si>
  <si>
    <t>bingosoftware.biz</t>
  </si>
  <si>
    <t>08/02/2023 at 15:21:18 UTC</t>
  </si>
  <si>
    <t>Meso Scale Diagnostics</t>
  </si>
  <si>
    <t>01/11/2024 at 03:03:46 UTC</t>
  </si>
  <si>
    <t>Apelon</t>
  </si>
  <si>
    <t>11/28/2018 at 07:49:55 UTC</t>
  </si>
  <si>
    <t>Daniel Nephin</t>
  </si>
  <si>
    <t>09/16/2024 at 14:32:14 UTC</t>
  </si>
  <si>
    <t>DocuSign</t>
  </si>
  <si>
    <t>11/14/2023 at 14:03:20 UTC</t>
  </si>
  <si>
    <t>NDS Surgical Imaging, LLC.</t>
  </si>
  <si>
    <t>02/22/2021 at 21:50:04 UTC</t>
  </si>
  <si>
    <t>Thomson Reuters</t>
  </si>
  <si>
    <t>DriverAgent.com, Inc.</t>
  </si>
  <si>
    <t>07/19/2019 at 13:46:25 UTC</t>
  </si>
  <si>
    <t>10/10/2024 at 02:06:15 UTC</t>
  </si>
  <si>
    <t>01/06/2019 at 21:38:12 UTC</t>
  </si>
  <si>
    <t>Dyslexie Font B.V.</t>
  </si>
  <si>
    <t>12/01/2022 at 03:44:38 UTC</t>
  </si>
  <si>
    <t>07/19/2024 at 16:33:44 UTC</t>
  </si>
  <si>
    <t>04/19/2024 at 03:49:24 UTC</t>
  </si>
  <si>
    <t>Maverick Quantum Inc.</t>
  </si>
  <si>
    <t>Micro-Dyn Medical Systems, Inc.</t>
  </si>
  <si>
    <t>06/16/2020 at 07:59:43 UTC</t>
  </si>
  <si>
    <t>Steelcase, Inc.</t>
  </si>
  <si>
    <t>01/14/2020 at 21:26:33 UTC</t>
  </si>
  <si>
    <t>11/05/2019 at 06:51:20 UTC</t>
  </si>
  <si>
    <t>Epharmix, Inc.</t>
  </si>
  <si>
    <t>Epic Games Inc.</t>
  </si>
  <si>
    <t>11/10/2022 at 22:23:04 UTC</t>
  </si>
  <si>
    <t>Express.js</t>
  </si>
  <si>
    <t>02/28/2024 at 16:07:21 UTC</t>
  </si>
  <si>
    <t>DNN Corp.</t>
  </si>
  <si>
    <t>09/19/2022 at 18:57:45 UTC</t>
  </si>
  <si>
    <t>MTS IntegraTRAK, Inc.</t>
  </si>
  <si>
    <t>03/19/2024 at 00:47:24 UTC</t>
  </si>
  <si>
    <t>04/10/2024 at 17:16:59 UTC</t>
  </si>
  <si>
    <t>Fedora Project</t>
  </si>
  <si>
    <t>10/16/2024 at 12:38:15 UTC</t>
  </si>
  <si>
    <t>Extreme Networks</t>
  </si>
  <si>
    <t>Ross Video, Ltd.</t>
  </si>
  <si>
    <t>05/19/2020 at 12:47:22 UTC</t>
  </si>
  <si>
    <t>03/05/2019 at 08:37:38 UTC</t>
  </si>
  <si>
    <t>03/08/2019 at 12:32:03 UTC</t>
  </si>
  <si>
    <t>03/05/2019 at 08:37:43 UTC</t>
  </si>
  <si>
    <t>08/31/2022 at 02:18:56 UTC</t>
  </si>
  <si>
    <t>American National Standards Institute (ANSI)</t>
  </si>
  <si>
    <t>12/13/2024 at 19:39:21 UTC</t>
  </si>
  <si>
    <t>05/01/2024 at 19:32:18 UTC</t>
  </si>
  <si>
    <t>Toshiba</t>
  </si>
  <si>
    <t>03/08/2023 at 04:43:38 UTC</t>
  </si>
  <si>
    <t>04/12/2022 at 00:57:22 UTC</t>
  </si>
  <si>
    <t>Texcel Systems, Inc.</t>
  </si>
  <si>
    <t>10/08/2020 at 13:16:37 UTC</t>
  </si>
  <si>
    <t>Marek Jasinski</t>
  </si>
  <si>
    <t>01/07/2025 at 01:25:02 UTC</t>
  </si>
  <si>
    <t>CIR Systems, Inc.</t>
  </si>
  <si>
    <t>11/28/2018 at 07:50:09 UTC</t>
  </si>
  <si>
    <t>05/08/2023 at 00:58:55 UTC</t>
  </si>
  <si>
    <t>Cephid</t>
  </si>
  <si>
    <t>The GGobi Foundation, Inc.</t>
  </si>
  <si>
    <t>12/26/2023 at 22:06:18 UTC</t>
  </si>
  <si>
    <t>05/23/2019 at 11:52:16 UTC</t>
  </si>
  <si>
    <t>Globus Alliance</t>
  </si>
  <si>
    <t>08/14/2019 at 12:51:39 UTC</t>
  </si>
  <si>
    <t>12/20/2023 at 19:06:12 UTC</t>
  </si>
  <si>
    <t>Graphical Network Simulator-3</t>
  </si>
  <si>
    <t>05/30/2024 at 02:59:20 UTC</t>
  </si>
  <si>
    <t>03/16/2023 at 03:46:30 UTC</t>
  </si>
  <si>
    <t>02/03/2020 at 18:50:28 UTC</t>
  </si>
  <si>
    <t>03/27/2024 at 02:56:28 UTC</t>
  </si>
  <si>
    <t>08/26/2020 at 16:31:51 UTC</t>
  </si>
  <si>
    <t>Russel Gold</t>
  </si>
  <si>
    <t>05/09/2023 at 03:56:11 UTC</t>
  </si>
  <si>
    <t>Sea Island Software, Inc.</t>
  </si>
  <si>
    <t>09/29/2022 at 16:40:26 UTC</t>
  </si>
  <si>
    <t>HSQL Development Group</t>
  </si>
  <si>
    <t>05/12/2020 at 08:24:29 UTC</t>
  </si>
  <si>
    <t>07/01/2024 at 15:53:08 UTC</t>
  </si>
  <si>
    <t>Broadsoft Inc.</t>
  </si>
  <si>
    <t>03/28/2019 at 11:39:14 UTC</t>
  </si>
  <si>
    <t>Laborie</t>
  </si>
  <si>
    <t>03/16/2021 at 14:19:01 UTC</t>
  </si>
  <si>
    <t>06/27/2019 at 12:47:42 UTC</t>
  </si>
  <si>
    <t>Medidata</t>
  </si>
  <si>
    <t>04/10/2024 at 02:06:08 UTC</t>
  </si>
  <si>
    <t>Awareness Technologies, Inc.</t>
  </si>
  <si>
    <t>07/29/2019 at 07:24:33 UTC</t>
  </si>
  <si>
    <t>11/14/2024 at 18:51:20 UTC</t>
  </si>
  <si>
    <t>03/25/2024 at 16:45:56 UTC</t>
  </si>
  <si>
    <t>Leidos</t>
  </si>
  <si>
    <t>04/18/2019 at 11:10:03 UTC</t>
  </si>
  <si>
    <t>02/14/2024 at 03:14:58 UTC</t>
  </si>
  <si>
    <t>05/28/2019 at 12:17:32 UTC</t>
  </si>
  <si>
    <t>IRIS S.A.</t>
  </si>
  <si>
    <t>11/14/2022 at 17:43:09 UTC</t>
  </si>
  <si>
    <t>Vivify Health, Inc.</t>
  </si>
  <si>
    <t>05/28/2020 at 10:59:18 UTC</t>
  </si>
  <si>
    <t>02/05/2021 at 12:43:29 UTC</t>
  </si>
  <si>
    <t>10/28/2024 at 13:56:48 UTC</t>
  </si>
  <si>
    <t>03/20/2023 at 16:29:07 UTC</t>
  </si>
  <si>
    <t>Joda.org</t>
  </si>
  <si>
    <t>05/03/2019 at 11:56:45 UTC</t>
  </si>
  <si>
    <t>12/14/2022 at 23:23:03 UTC</t>
  </si>
  <si>
    <t>Laserfische</t>
  </si>
  <si>
    <t>07/15/2024 at 19:50:21 UTC</t>
  </si>
  <si>
    <t>DNASTAR</t>
  </si>
  <si>
    <t>02/03/2020 at 08:29:48 UTC</t>
  </si>
  <si>
    <t>05/18/2020 at 11:55:37 UTC</t>
  </si>
  <si>
    <t>01/05/2023 at 01:50:55 UTC</t>
  </si>
  <si>
    <t>12/19/2024 at 15:06:46 UTC</t>
  </si>
  <si>
    <t>Heat Software</t>
  </si>
  <si>
    <t>04/10/2024 at 17:17:02 UTC</t>
  </si>
  <si>
    <t>09/25/2024 at 01:50:23 UTC</t>
  </si>
  <si>
    <t>01/12/2021 at 12:28:34 UTC</t>
  </si>
  <si>
    <t>07/16/2019 at 10:40:39 UTC</t>
  </si>
  <si>
    <t>CoolMoon Corp.</t>
  </si>
  <si>
    <t>07/12/2019 at 13:42:01 UTC</t>
  </si>
  <si>
    <t>Strategic Reporting Systems, Inc.</t>
  </si>
  <si>
    <t>Digiarty Software, Inc.</t>
  </si>
  <si>
    <t>08/01/2019 at 17:26:04 UTC</t>
  </si>
  <si>
    <t>Leonard R. Budney</t>
  </si>
  <si>
    <t>07/10/2020 at 14:31:08 UTC</t>
  </si>
  <si>
    <t>06/19/2019 at 13:11:54 UTC</t>
  </si>
  <si>
    <t>Honeywell Analytics, Inc.</t>
  </si>
  <si>
    <t>05/12/2019 at 17:28:34 UTC</t>
  </si>
  <si>
    <t>Applied Statistics &amp; Management, Inc. (ASM)</t>
  </si>
  <si>
    <t>04/21/2020 at 11:20:03 UTC</t>
  </si>
  <si>
    <t>Encryptomatic, LLC.</t>
  </si>
  <si>
    <t>John E. Meyers</t>
  </si>
  <si>
    <t>01/09/2024 at 23:55:41 UTC</t>
  </si>
  <si>
    <t>12/12/2023 at 14:27:56 UTC</t>
  </si>
  <si>
    <t>01/06/2020 at 17:14:38 UTC</t>
  </si>
  <si>
    <t>Kitware</t>
  </si>
  <si>
    <t>03/31/2020 at 10:49:46 UTC</t>
  </si>
  <si>
    <t>Intelligent Converters</t>
  </si>
  <si>
    <t>Milliman, Inc.</t>
  </si>
  <si>
    <t>09/07/2022 at 03:32:14 UTC</t>
  </si>
  <si>
    <t>04/21/2020 at 11:19:56 UTC</t>
  </si>
  <si>
    <t>03/20/2020 at 14:50:48 UTC</t>
  </si>
  <si>
    <t>Mirada Medical USA, Inc</t>
  </si>
  <si>
    <t>08/27/2024 at 15:29:51 UTC</t>
  </si>
  <si>
    <t>Technology Enterprise Group, Inc.</t>
  </si>
  <si>
    <t>05/07/2024 at 03:25:24 UTC</t>
  </si>
  <si>
    <t>01/20/2023 at 19:57:10 UTC</t>
  </si>
  <si>
    <t>Tildeslash Ltd.</t>
  </si>
  <si>
    <t>07/16/2019 at 10:40:41 UTC</t>
  </si>
  <si>
    <t>Amulet Hotkey</t>
  </si>
  <si>
    <t>03/30/2023 at 19:17:53 UTC</t>
  </si>
  <si>
    <t>Oncology Data Systems, Inc.</t>
  </si>
  <si>
    <t>07/09/2019 at 07:53:40 UTC</t>
  </si>
  <si>
    <t>MicroVideo Learning Systems, Inc.</t>
  </si>
  <si>
    <t>03/27/2023 at 15:43:16 UTC</t>
  </si>
  <si>
    <t>Interactive Touch Screen Solutions</t>
  </si>
  <si>
    <t>04/21/2020 at 11:19:57 UTC</t>
  </si>
  <si>
    <t>10/31/2023 at 15:56:59 UTC</t>
  </si>
  <si>
    <t>01/25/2023 at 18:04:22 UTC</t>
  </si>
  <si>
    <t>05/13/2022 at 17:38:50 UTC</t>
  </si>
  <si>
    <t>Neverfail, Inc.</t>
  </si>
  <si>
    <t>06/22/2020 at 16:42:54 UTC</t>
  </si>
  <si>
    <t>11/14/2022 at 17:43:13 UTC</t>
  </si>
  <si>
    <t>Nintex</t>
  </si>
  <si>
    <t>06/10/2024 at 15:39:07 UTC</t>
  </si>
  <si>
    <t>Six Sigma Products Group, Inc.</t>
  </si>
  <si>
    <t>07/16/2019 at 12:17:01 UTC</t>
  </si>
  <si>
    <t>North52</t>
  </si>
  <si>
    <t>OnBoard Security, Inc.</t>
  </si>
  <si>
    <t>05/14/2020 at 14:24:06 UTC</t>
  </si>
  <si>
    <t>NVIDIA</t>
  </si>
  <si>
    <t>01/02/2025 at 15:06:29 UTC</t>
  </si>
  <si>
    <t>01/02/2025 at 15:06:30 UTC</t>
  </si>
  <si>
    <t>Viavi Solutions</t>
  </si>
  <si>
    <t>04/10/2024 at 17:17:14 UTC</t>
  </si>
  <si>
    <t>08/19/2024 at 14:47:48 UTC</t>
  </si>
  <si>
    <t>03/31/2020 at 10:51:03 UTC</t>
  </si>
  <si>
    <t>LifeScan, Inc.</t>
  </si>
  <si>
    <t>02/02/2023 at 18:46:54 UTC</t>
  </si>
  <si>
    <t>02/12/2020 at 11:10:58 UTC</t>
  </si>
  <si>
    <t>OpenBSD</t>
  </si>
  <si>
    <t>National Renewable Energy Laboratory (NREL)</t>
  </si>
  <si>
    <t>OpsHub</t>
  </si>
  <si>
    <t>01/30/2024 at 01:10:09 UTC</t>
  </si>
  <si>
    <t>08/23/2019 at 14:08:34 UTC</t>
  </si>
  <si>
    <t>New York Microscope Co.</t>
  </si>
  <si>
    <t>12/06/2022 at 02:46:59 UTC</t>
  </si>
  <si>
    <t>10/16/2024 at 21:30:07 UTC</t>
  </si>
  <si>
    <t>UltraViolet Devices, Inc.</t>
  </si>
  <si>
    <t>06/16/2020 at 07:59:47 UTC</t>
  </si>
  <si>
    <t>10/31/2024 at 16:35:36 UTC</t>
  </si>
  <si>
    <t>06/19/2019 at 13:37:47 UTC</t>
  </si>
  <si>
    <t>06/19/2019 at 13:37:48 UTC</t>
  </si>
  <si>
    <t>10/14/2024 at 01:22:55 UTC</t>
  </si>
  <si>
    <t>Eigenvector Research, Inc.</t>
  </si>
  <si>
    <t>11/18/2020 at 08:50:55 UTC</t>
  </si>
  <si>
    <t>RF IDeas</t>
  </si>
  <si>
    <t>Perforce Software</t>
  </si>
  <si>
    <t>02/02/2023 at 18:46:55 UTC</t>
  </si>
  <si>
    <t>ESnet</t>
  </si>
  <si>
    <t>04/24/2024 at 18:28:27 UTC</t>
  </si>
  <si>
    <t>09/09/2024 at 16:40:37 UTC</t>
  </si>
  <si>
    <t>HDR Soft</t>
  </si>
  <si>
    <t>04/16/2019 at 08:02:51 UTC</t>
  </si>
  <si>
    <t>09/21/2022 at 02:04:08 UTC</t>
  </si>
  <si>
    <t>07/01/2024 at 15:53:18 UTC</t>
  </si>
  <si>
    <t>freedesktop.org</t>
  </si>
  <si>
    <t>01/18/2024 at 02:51:55 UTC</t>
  </si>
  <si>
    <t>05/24/2024 at 16:49:10 UTC</t>
  </si>
  <si>
    <t>FyTek, Inc.</t>
  </si>
  <si>
    <t>08/24/2020 at 08:00:11 UTC</t>
  </si>
  <si>
    <t>Power Software Ltd.</t>
  </si>
  <si>
    <t>06/04/2019 at 14:24:53 UTC</t>
  </si>
  <si>
    <t>09/10/2019 at 07:59:36 UTC</t>
  </si>
  <si>
    <t>Gadwin Systems Inc.</t>
  </si>
  <si>
    <t>PROFOX Associates, Inc.</t>
  </si>
  <si>
    <t>07/12/2024 at 02:56:03 UTC</t>
  </si>
  <si>
    <t>Olympic Systems, Inc.</t>
  </si>
  <si>
    <t>02/24/2020 at 12:44:05 UTC</t>
  </si>
  <si>
    <t>RAE Systems</t>
  </si>
  <si>
    <t>08/19/2022 at 17:34:52 UTC</t>
  </si>
  <si>
    <t>Bruel &amp; Kjaer</t>
  </si>
  <si>
    <t>09/30/2022 at 16:17:22 UTC</t>
  </si>
  <si>
    <t>07/15/2021 at 20:42:48 UTC</t>
  </si>
  <si>
    <t>Python Software Foundation</t>
  </si>
  <si>
    <t>11/14/2024 at 18:51:12 UTC</t>
  </si>
  <si>
    <t>05/09/2024 at 19:08:24 UTC</t>
  </si>
  <si>
    <t>Quarto</t>
  </si>
  <si>
    <t>05/14/2019 at 09:35:00 UTC</t>
  </si>
  <si>
    <t>12/14/2023 at 13:36:53 UTC</t>
  </si>
  <si>
    <t>06/25/2020 at 12:10:33 UTC</t>
  </si>
  <si>
    <t>Persistent Technology Inc.</t>
  </si>
  <si>
    <t>12/12/2023 at 12:52:40 UTC</t>
  </si>
  <si>
    <t>07/18/2022 at 18:22:54 UTC</t>
  </si>
  <si>
    <t>Brooks Internet Software, Inc.</t>
  </si>
  <si>
    <t>06/16/2020 at 07:59:38 UTC</t>
  </si>
  <si>
    <t>GridPro</t>
  </si>
  <si>
    <t>09/26/2024 at 17:51:20 UTC</t>
  </si>
  <si>
    <t>10/21/2022 at 23:45:35 UTC</t>
  </si>
  <si>
    <t>REX-Ray.io</t>
  </si>
  <si>
    <t>08/27/2024 at 15:33:52 UTC</t>
  </si>
  <si>
    <t>Apollo Education Group, Inc.</t>
  </si>
  <si>
    <t>07/09/2019 at 07:53:45 UTC</t>
  </si>
  <si>
    <t>Permobil, Inc.</t>
  </si>
  <si>
    <t>11/14/2022 at 17:41:38 UTC</t>
  </si>
  <si>
    <t>Rockware, Inc.</t>
  </si>
  <si>
    <t>06/16/2020 at 07:59:45 UTC</t>
  </si>
  <si>
    <t>06/22/2020 at 16:42:55 UTC</t>
  </si>
  <si>
    <t>06/30/2022 at 17:35:02 UTC</t>
  </si>
  <si>
    <t>H.R.Z. Software Services Ltd</t>
  </si>
  <si>
    <t>Genome Research Limited</t>
  </si>
  <si>
    <t>03/20/2024 at 02:44:59 UTC</t>
  </si>
  <si>
    <t>12/06/2022 at 02:46:48 UTC</t>
  </si>
  <si>
    <t>Flowerfire, Inc.</t>
  </si>
  <si>
    <t>04/30/2020 at 14:27:49 UTC</t>
  </si>
  <si>
    <t>Scantron Corporation</t>
  </si>
  <si>
    <t>10/25/2022 at 19:18:00 UTC</t>
  </si>
  <si>
    <t>Funduc Software Inc.</t>
  </si>
  <si>
    <t>08/24/2020 at 08:00:13 UTC</t>
  </si>
  <si>
    <t>06/02/2020 at 12:49:34 UTC</t>
  </si>
  <si>
    <t>Scientific Computing and Imaging Institute</t>
  </si>
  <si>
    <t>11/17/2023 at 03:58:00 UTC</t>
  </si>
  <si>
    <t>06/24/2020 at 12:12:54 UTC</t>
  </si>
  <si>
    <t>08/23/2019 at 14:08:24 UTC</t>
  </si>
  <si>
    <t>GenDx</t>
  </si>
  <si>
    <t>04/10/2023 at 03:24:13 UTC</t>
  </si>
  <si>
    <t>Advanced Tracking Technologies, Inc. (ATTI)</t>
  </si>
  <si>
    <t>12/12/2022 at 03:45:10 UTC</t>
  </si>
  <si>
    <t>MediaSignage Inc.</t>
  </si>
  <si>
    <t>11/29/2024 at 20:47:44 UTC</t>
  </si>
  <si>
    <t>Simerics Inc.</t>
  </si>
  <si>
    <t>12/20/2024 at 21:29:06 UTC</t>
  </si>
  <si>
    <t>11/23/2022 at 22:12:32 UTC</t>
  </si>
  <si>
    <t>09/26/2024 at 17:51:22 UTC</t>
  </si>
  <si>
    <t>EZ5 Systems Ltd.</t>
  </si>
  <si>
    <t>11/27/2023 at 17:22:43 UTC</t>
  </si>
  <si>
    <t>10/04/2024 at 17:13:14 UTC</t>
  </si>
  <si>
    <t>Dentsply Sirona</t>
  </si>
  <si>
    <t>11/29/2024 at 20:47:45 UTC</t>
  </si>
  <si>
    <t>Sleep Multimedia, Inc.</t>
  </si>
  <si>
    <t>01/24/2019 at 10:41:49 UTC</t>
  </si>
  <si>
    <t>Kissei Comtec Co, Ltd.</t>
  </si>
  <si>
    <t>01/28/2019 at 12:08:59 UTC</t>
  </si>
  <si>
    <t>Neuralynx, Inc.</t>
  </si>
  <si>
    <t>09/29/2020 at 12:05:41 UTC</t>
  </si>
  <si>
    <t>07/06/2020 at 12:54:31 UTC</t>
  </si>
  <si>
    <t>SMEAD Manufacturing Company</t>
  </si>
  <si>
    <t>SnapShot Technologies</t>
  </si>
  <si>
    <t>01/25/2024 at 23:26:32 UTC</t>
  </si>
  <si>
    <t>11/15/2024 at 22:28:41 UTC</t>
  </si>
  <si>
    <t>SonicWALL</t>
  </si>
  <si>
    <t>02/05/2020 at 16:39:30 UTC</t>
  </si>
  <si>
    <t>SourceGear</t>
  </si>
  <si>
    <t>04/01/2019 at 07:55:24 UTC</t>
  </si>
  <si>
    <t>Digitalks, Inc</t>
  </si>
  <si>
    <t>03/02/2020 at 10:06:40 UTC</t>
  </si>
  <si>
    <t>02/22/2023 at 19:05:56 UTC</t>
  </si>
  <si>
    <t>03/24/2020 at 14:52:04 UTC</t>
  </si>
  <si>
    <t>06/08/2020 at 10:34:20 UTC</t>
  </si>
  <si>
    <t>05/16/2024 at 15:53:25 UTC</t>
  </si>
  <si>
    <t>Add-Ins.com</t>
  </si>
  <si>
    <t>07/23/2019 at 12:08:00 UTC</t>
  </si>
  <si>
    <t>Desaware</t>
  </si>
  <si>
    <t>Taro L. Saito</t>
  </si>
  <si>
    <t>05/09/2023 at 03:56:08 UTC</t>
  </si>
  <si>
    <t>Stancil Corp</t>
  </si>
  <si>
    <t>Stata Corp LP</t>
  </si>
  <si>
    <t>08/02/2023 at 15:21:14 UTC</t>
  </si>
  <si>
    <t>stevengould.org</t>
  </si>
  <si>
    <t>06/30/2020 at 15:38:23 UTC</t>
  </si>
  <si>
    <t>12/19/2022 at 16:30:54 UTC</t>
  </si>
  <si>
    <t>12/14/2018 at 11:43:22 UTC</t>
  </si>
  <si>
    <t>01/10/2023 at 02:26:12 UTC</t>
  </si>
  <si>
    <t>Surescripts</t>
  </si>
  <si>
    <t>04/04/2023 at 19:24:48 UTC</t>
  </si>
  <si>
    <t>MicroVision Development, Inc.</t>
  </si>
  <si>
    <t>09/01/2020 at 10:32:32 UTC</t>
  </si>
  <si>
    <t>National Cancer Institute</t>
  </si>
  <si>
    <t>11/29/2024 at 20:47:31 UTC</t>
  </si>
  <si>
    <t>06/22/2019 at 16:08:40 UTC</t>
  </si>
  <si>
    <t>01/18/2024 at 02:53:17 UTC</t>
  </si>
  <si>
    <t>Sebastien Godard</t>
  </si>
  <si>
    <t>11/29/2024 at 20:47:32 UTC</t>
  </si>
  <si>
    <t>11/06/2023 at 20:27:16 UTC</t>
  </si>
  <si>
    <t>File.Net</t>
  </si>
  <si>
    <t>05/12/2019 at 17:28:30 UTC</t>
  </si>
  <si>
    <t>SourceForge</t>
  </si>
  <si>
    <t>01/14/2021 at 11:58:59 UTC</t>
  </si>
  <si>
    <t>04/11/2024 at 15:53:30 UTC</t>
  </si>
  <si>
    <t>Ghisler Software</t>
  </si>
  <si>
    <t>04/07/2019 at 21:08:02 UTC</t>
  </si>
  <si>
    <t>06/08/2020 at 10:34:15 UTC</t>
  </si>
  <si>
    <t>09/21/2022 at 02:03:39 UTC</t>
  </si>
  <si>
    <t>Tripwire. Inc.</t>
  </si>
  <si>
    <t>11/14/2022 at 17:41:46 UTC</t>
  </si>
  <si>
    <t>12/06/2022 at 02:46:39 UTC</t>
  </si>
  <si>
    <t>UltraVNC Team</t>
  </si>
  <si>
    <t>12/13/2021 at 17:37:30 UTC</t>
  </si>
  <si>
    <t>UltraBac Software Inc.</t>
  </si>
  <si>
    <t>12/08/2021 at 02:39:22 UTC</t>
  </si>
  <si>
    <t>04/07/2020 at 08:22:13 UTC</t>
  </si>
  <si>
    <t>03/24/2020 at 14:52:02 UTC</t>
  </si>
  <si>
    <t>itrezzo, Inc</t>
  </si>
  <si>
    <t>02/06/2024 at 02:01:40 UTC</t>
  </si>
  <si>
    <t>03/12/2019 at 19:53:03 UTC</t>
  </si>
  <si>
    <t>U.S. Pharmacopeia</t>
  </si>
  <si>
    <t>02/06/2019 at 09:44:45 UTC</t>
  </si>
  <si>
    <t>02/03/2023 at 15:01:49 UTC</t>
  </si>
  <si>
    <t>In-Quiz-it Software, Inc.</t>
  </si>
  <si>
    <t>03/25/2020 at 16:10:08 UTC</t>
  </si>
  <si>
    <t>02/03/2021 at 13:10:00 UTC</t>
  </si>
  <si>
    <t>Valcom, Inc.</t>
  </si>
  <si>
    <t>08/22/2023 at 17:52:27 UTC</t>
  </si>
  <si>
    <t>VBrick</t>
  </si>
  <si>
    <t>07/01/2024 at 19:39:35 UTC</t>
  </si>
  <si>
    <t>Versus Technology, Inc.</t>
  </si>
  <si>
    <t>Vega</t>
  </si>
  <si>
    <t>09/26/2022 at 02:04:13 UTC</t>
  </si>
  <si>
    <t>12/05/2022 at 17:52:50 UTC</t>
  </si>
  <si>
    <t>Hamilton Company</t>
  </si>
  <si>
    <t>04/23/2020 at 16:11:08 UTC</t>
  </si>
  <si>
    <t>Version One</t>
  </si>
  <si>
    <t>10/17/2018 at 13:07:56 UTC</t>
  </si>
  <si>
    <t>ProSphere Tek, Inc.</t>
  </si>
  <si>
    <t>i-PRO Americas</t>
  </si>
  <si>
    <t>RealVNC</t>
  </si>
  <si>
    <t>04/11/2023 at 02:19:03 UTC</t>
  </si>
  <si>
    <t>04/07/2020 at 08:22:15 UTC</t>
  </si>
  <si>
    <t>Digital Vision Inc.</t>
  </si>
  <si>
    <t>11/26/2022 at 00:53:39 UTC</t>
  </si>
  <si>
    <t>PENTAX Medical</t>
  </si>
  <si>
    <t>04/11/2024 at 15:53:22 UTC</t>
  </si>
  <si>
    <t>Visual Health Information</t>
  </si>
  <si>
    <t>07/10/2020 at 14:35:09 UTC</t>
  </si>
  <si>
    <t>VivoSense</t>
  </si>
  <si>
    <t>01/25/2023 at 03:17:42 UTC</t>
  </si>
  <si>
    <t>07/24/2024 at 04:25:05 UTC</t>
  </si>
  <si>
    <t>Vocera</t>
  </si>
  <si>
    <t>iSign International, Inc.</t>
  </si>
  <si>
    <t>08/24/2022 at 18:09:17 UTC</t>
  </si>
  <si>
    <t>Wazuh</t>
  </si>
  <si>
    <t>03/22/2024 at 00:45:30 UTC</t>
  </si>
  <si>
    <t>Webtrends</t>
  </si>
  <si>
    <t>08/31/2022 at 02:18:06 UTC</t>
  </si>
  <si>
    <t>Pearson</t>
  </si>
  <si>
    <t>10/03/2022 at 18:04:48 UTC</t>
  </si>
  <si>
    <t>02/15/2024 at 20:11:05 UTC</t>
  </si>
  <si>
    <t>WinFSP.dev</t>
  </si>
  <si>
    <t>Sase Sham, Inc.</t>
  </si>
  <si>
    <t>04/29/2019 at 14:55:10 UTC</t>
  </si>
  <si>
    <t>Dr. Marjorie H. Klein</t>
  </si>
  <si>
    <t>12/17/2019 at 07:04:49 UTC</t>
  </si>
  <si>
    <t>Abdio Software Inc.</t>
  </si>
  <si>
    <t>07/29/2019 at 07:24:32 UTC</t>
  </si>
  <si>
    <t>Apache Friends</t>
  </si>
  <si>
    <t>02/02/2024 at 03:13:47 UTC</t>
  </si>
  <si>
    <t>XenData</t>
  </si>
  <si>
    <t>08/29/2024 at 15:54:54 UTC</t>
  </si>
  <si>
    <t>XQuartz</t>
  </si>
  <si>
    <t>01/03/2023 at 08:08:41 UTC</t>
  </si>
  <si>
    <t>Zetron</t>
  </si>
  <si>
    <t>06/11/2024 at 16:45:41 UTC</t>
  </si>
  <si>
    <t>01/06/2020 at 17:11:31 UTC</t>
  </si>
  <si>
    <t>Equisys Inc</t>
  </si>
  <si>
    <t>Zoom Video Communications</t>
  </si>
  <si>
    <t>06/18/2024 at 17:39:02 UTC</t>
  </si>
  <si>
    <t>Zope Foundation</t>
  </si>
  <si>
    <t>09/08/2022 at 21:00:45 UTC</t>
  </si>
  <si>
    <t>CommonLook</t>
  </si>
  <si>
    <t>09/17/2024 at 16:21:54 UTC</t>
  </si>
  <si>
    <t>Prodigy Diabetes Care</t>
  </si>
  <si>
    <t>03/12/2024 at 15:25:10 UTC</t>
  </si>
  <si>
    <t>Onenotegem</t>
  </si>
  <si>
    <t>HammerDB</t>
  </si>
  <si>
    <t>LexisNexis</t>
  </si>
  <si>
    <t>12/22/2022 at 23:05:52 UTC</t>
  </si>
  <si>
    <t>Moodle Pty Ltd</t>
  </si>
  <si>
    <t>07/05/2023 at 14:12:01 UTC</t>
  </si>
  <si>
    <t>fCoder</t>
  </si>
  <si>
    <t>ViewSonic</t>
  </si>
  <si>
    <t>03/11/2024 at 14:14:19 UTC</t>
  </si>
  <si>
    <t>Code Sector</t>
  </si>
  <si>
    <t>03/13/2023 at 16:48:03 UTC</t>
  </si>
  <si>
    <t>Vision Engravers</t>
  </si>
  <si>
    <t>Aivosto Oy</t>
  </si>
  <si>
    <t>10/03/2022 at 19:04:01 UTC</t>
  </si>
  <si>
    <t>Wacom</t>
  </si>
  <si>
    <t>08/30/2024 at 16:19:26 UTC</t>
  </si>
  <si>
    <t>Wasp Barcode Technologies</t>
  </si>
  <si>
    <t>01/30/2024 at 01:11:47 UTC</t>
  </si>
  <si>
    <t>Wondershare</t>
  </si>
  <si>
    <t>12/20/2024 at 22:31:53 UTC</t>
  </si>
  <si>
    <t>Zebra</t>
  </si>
  <si>
    <t>11/20/2024 at 14:40:33 UTC</t>
  </si>
  <si>
    <t>Disqus</t>
  </si>
  <si>
    <t>3Dsystems</t>
  </si>
  <si>
    <t>03/18/2024 at 23:28:48 UTC</t>
  </si>
  <si>
    <t>Solventum</t>
  </si>
  <si>
    <t>08/29/2024 at 15:55:03 UTC</t>
  </si>
  <si>
    <t>3Shape</t>
  </si>
  <si>
    <t>03/07/2024 at 02:25:03 UTC</t>
  </si>
  <si>
    <t>RW Martin Company</t>
  </si>
  <si>
    <t>11/29/2023 at 19:44:38 UTC</t>
  </si>
  <si>
    <t>Siteimprove</t>
  </si>
  <si>
    <t>12/14/2023 at 21:56:34 UTC</t>
  </si>
  <si>
    <t>02/06/2019 at 08:01:50 UTC</t>
  </si>
  <si>
    <t>BIOPAC Systems, Inc</t>
  </si>
  <si>
    <t>07/19/2024 at 16:33:59 UTC</t>
  </si>
  <si>
    <t>08/28/2024 at 17:43:03 UTC</t>
  </si>
  <si>
    <t>Acteon</t>
  </si>
  <si>
    <t>06/07/2024 at 18:37:45 UTC</t>
  </si>
  <si>
    <t>12/01/2023 at 18:44:13 UTC</t>
  </si>
  <si>
    <t>ManageEngine</t>
  </si>
  <si>
    <t>Colorlib</t>
  </si>
  <si>
    <t>12/02/2024 at 22:51:15 UTC</t>
  </si>
  <si>
    <t>12/01/2023 at 17:53:03 UTC</t>
  </si>
  <si>
    <t>12/04/2024 at 16:23:29 UTC</t>
  </si>
  <si>
    <t>08/27/2024 at 02:02:54 UTC</t>
  </si>
  <si>
    <t>03/07/2023 at 03:16:05 UTC</t>
  </si>
  <si>
    <t>11/15/2024 at 21:35:16 UTC</t>
  </si>
  <si>
    <t>11/06/2024 at 02:07:32 UTC</t>
  </si>
  <si>
    <t>10/25/2024 at 15:13:44 UTC</t>
  </si>
  <si>
    <t>Harman</t>
  </si>
  <si>
    <t>10/16/2024 at 13:10:08 UTC</t>
  </si>
  <si>
    <t>12/02/2024 at 22:51:14 UTC</t>
  </si>
  <si>
    <t>08/26/2024 at 15:09:15 UTC</t>
  </si>
  <si>
    <t>Advanced Bionics AG</t>
  </si>
  <si>
    <t>01/16/2024 at 21:25:12 UTC</t>
  </si>
  <si>
    <t>Tadiran Telecom</t>
  </si>
  <si>
    <t>Mythicsoft</t>
  </si>
  <si>
    <t>01/03/2025 at 15:03:38 UTC</t>
  </si>
  <si>
    <t>Lighting Analysts</t>
  </si>
  <si>
    <t>Crestron</t>
  </si>
  <si>
    <t>Alertus</t>
  </si>
  <si>
    <t>Alexsys Corporation</t>
  </si>
  <si>
    <t>08/02/2023 at 15:21:16 UTC</t>
  </si>
  <si>
    <t>Qameta Software</t>
  </si>
  <si>
    <t>09/27/2023 at 03:32:52 UTC</t>
  </si>
  <si>
    <t>AlphaCard</t>
  </si>
  <si>
    <t>01/06/2025 at 16:59:04 UTC</t>
  </si>
  <si>
    <t>Altair Knowledge Works</t>
  </si>
  <si>
    <t>08/02/2024 at 19:01:15 UTC</t>
  </si>
  <si>
    <t>02/21/2023 at 19:00:01 UTC</t>
  </si>
  <si>
    <t>10/31/2024 at 16:35:40 UTC</t>
  </si>
  <si>
    <t>07/12/2024 at 02:56:04 UTC</t>
  </si>
  <si>
    <t>08/27/2024 at 02:03:07 UTC</t>
  </si>
  <si>
    <t>06/06/2024 at 16:17:51 UTC</t>
  </si>
  <si>
    <t>12/06/2023 at 02:43:54 UTC</t>
  </si>
  <si>
    <t>09/03/2024 at 15:13:38 UTC</t>
  </si>
  <si>
    <t>PioneerIt</t>
  </si>
  <si>
    <t>12/09/2022 at 20:09:39 UTC</t>
  </si>
  <si>
    <t>Anchore</t>
  </si>
  <si>
    <t>10/25/2024 at 15:59:05 UTC</t>
  </si>
  <si>
    <t>11/20/2024 at 14:40:22 UTC</t>
  </si>
  <si>
    <t>AnkerWork</t>
  </si>
  <si>
    <t>11/06/2024 at 02:07:29 UTC</t>
  </si>
  <si>
    <t>Ansible, Inc</t>
  </si>
  <si>
    <t>10/07/2024 at 22:23:13 UTC</t>
  </si>
  <si>
    <t>03/26/2024 at 16:10:57 UTC</t>
  </si>
  <si>
    <t>02/14/2024 at 03:14:42 UTC</t>
  </si>
  <si>
    <t>Antigen Plus</t>
  </si>
  <si>
    <t>11/01/2022 at 15:15:05 UTC</t>
  </si>
  <si>
    <t>06/27/2024 at 17:09:31 UTC</t>
  </si>
  <si>
    <t>11/28/2023 at 19:44:23 UTC</t>
  </si>
  <si>
    <t>06/13/2024 at 20:25:21 UTC</t>
  </si>
  <si>
    <t>08/29/2024 at 15:55:01 UTC</t>
  </si>
  <si>
    <t>03/13/2024 at 17:13:59 UTC</t>
  </si>
  <si>
    <t>ApexSQL LLC</t>
  </si>
  <si>
    <t>12/10/2024 at 18:07:36 UTC</t>
  </si>
  <si>
    <t>10/30/2024 at 15:24:40 UTC</t>
  </si>
  <si>
    <t>01/30/2024 at 01:07:56 UTC</t>
  </si>
  <si>
    <t>Zscaler</t>
  </si>
  <si>
    <t>05/07/2024 at 03:25:29 UTC</t>
  </si>
  <si>
    <t>10/10/2024 at 02:06:13 UTC</t>
  </si>
  <si>
    <t>Appian</t>
  </si>
  <si>
    <t>01/07/2025 at 01:25:07 UTC</t>
  </si>
  <si>
    <t>06/03/2024 at 19:06:09 UTC</t>
  </si>
  <si>
    <t>Araxis</t>
  </si>
  <si>
    <t>11/14/2024 at 18:51:22 UTC</t>
  </si>
  <si>
    <t>11/15/2024 at 21:35:17 UTC</t>
  </si>
  <si>
    <t>Archimate Tool</t>
  </si>
  <si>
    <t>12/02/2024 at 18:14:25 UTC</t>
  </si>
  <si>
    <t>Arcserve</t>
  </si>
  <si>
    <t>Arduino</t>
  </si>
  <si>
    <t>Argo Project</t>
  </si>
  <si>
    <t>03/11/2024 at 14:14:04 UTC</t>
  </si>
  <si>
    <t>06/27/2024 at 17:09:35 UTC</t>
  </si>
  <si>
    <t>University of Pennsylvania/Ze Wang</t>
  </si>
  <si>
    <t>ASC Technologies</t>
  </si>
  <si>
    <t>02/16/2023 at 18:14:45 UTC</t>
  </si>
  <si>
    <t>01/11/2024 at 17:00:49 UTC</t>
  </si>
  <si>
    <t>Asigra</t>
  </si>
  <si>
    <t>09/01/2022 at 20:19:32 UTC</t>
  </si>
  <si>
    <t>Astera</t>
  </si>
  <si>
    <t>01/30/2024 at 01:06:48 UTC</t>
  </si>
  <si>
    <t>03/16/2023 at 14:50:53 UTC</t>
  </si>
  <si>
    <t>09/23/2024 at 17:31:16 UTC</t>
  </si>
  <si>
    <t>12/06/2022 at 02:46:35 UTC</t>
  </si>
  <si>
    <t>AtlasIED</t>
  </si>
  <si>
    <t>Audioscan</t>
  </si>
  <si>
    <t>09/22/2023 at 18:42:14 UTC</t>
  </si>
  <si>
    <t>AutoHotkey Foundation</t>
  </si>
  <si>
    <t>03/27/2024 at 01:49:26 UTC</t>
  </si>
  <si>
    <t>Automapper</t>
  </si>
  <si>
    <t>03/14/2024 at 16:03:45 UTC</t>
  </si>
  <si>
    <t>01/18/2024 at 02:49:48 UTC</t>
  </si>
  <si>
    <t>The University of Manchester Intellectual Property UMIP</t>
  </si>
  <si>
    <t>12/22/2022 at 23:05:53 UTC</t>
  </si>
  <si>
    <t>Automox</t>
  </si>
  <si>
    <t>01/30/2024 at 01:07:35 UTC</t>
  </si>
  <si>
    <t>AutoRabit</t>
  </si>
  <si>
    <t>02/12/2024 at 16:52:02 UTC</t>
  </si>
  <si>
    <t>Avery</t>
  </si>
  <si>
    <t>01/10/2023 at 02:26:15 UTC</t>
  </si>
  <si>
    <t>AVI-SPL</t>
  </si>
  <si>
    <t>04/02/2024 at 02:04:55 UTC</t>
  </si>
  <si>
    <t>02/02/2024 at 03:13:48 UTC</t>
  </si>
  <si>
    <t>Axis Communications</t>
  </si>
  <si>
    <t>01/24/2024 at 03:40:58 UTC</t>
  </si>
  <si>
    <t>Ottobock</t>
  </si>
  <si>
    <t>Azul Systems</t>
  </si>
  <si>
    <t>02/02/2024 at 03:07:44 UTC</t>
  </si>
  <si>
    <t>12/21/2023 at 21:23:16 UTC</t>
  </si>
  <si>
    <t>Azure BioSystems</t>
  </si>
  <si>
    <t>03/19/2024 at 00:47:22 UTC</t>
  </si>
  <si>
    <t>07/19/2024 at 16:33:57 UTC</t>
  </si>
  <si>
    <t>06/18/2024 at 16:24:52 UTC</t>
  </si>
  <si>
    <t>12/13/2024 at 19:39:18 UTC</t>
  </si>
  <si>
    <t>BCC Software</t>
  </si>
  <si>
    <t>04/01/2024 at 02:11:17 UTC</t>
  </si>
  <si>
    <t>02/07/2024 at 17:47:17 UTC</t>
  </si>
  <si>
    <t>BCS Systems</t>
  </si>
  <si>
    <t>11/20/2024 at 14:40:32 UTC</t>
  </si>
  <si>
    <t>04/04/2023 at 02:07:13 UTC</t>
  </si>
  <si>
    <t>08/27/2024 at 02:02:42 UTC</t>
  </si>
  <si>
    <t>OneMedNet</t>
  </si>
  <si>
    <t>08/29/2024 at 15:54:50 UTC</t>
  </si>
  <si>
    <t>Robert Corbett</t>
  </si>
  <si>
    <t>BeyondTrust Corporation</t>
  </si>
  <si>
    <t>10/02/2024 at 19:24:30 UTC</t>
  </si>
  <si>
    <t>Roberto Tyley</t>
  </si>
  <si>
    <t>10/19/2022 at 17:29:35 UTC</t>
  </si>
  <si>
    <t>BioPython</t>
  </si>
  <si>
    <t>09/11/2024 at 17:28:17 UTC</t>
  </si>
  <si>
    <t>03/07/2024 at 01:38:14 UTC</t>
  </si>
  <si>
    <t>07/24/2024 at 04:25:10 UTC</t>
  </si>
  <si>
    <t>12/10/2024 at 21:43:10 UTC</t>
  </si>
  <si>
    <t>10/16/2023 at 16:24:27 UTC</t>
  </si>
  <si>
    <t>Statistics Netherlands</t>
  </si>
  <si>
    <t>12/13/2024 at 19:38:09 UTC</t>
  </si>
  <si>
    <t>BlazeMeter</t>
  </si>
  <si>
    <t>10/23/2024 at 01:31:26 UTC</t>
  </si>
  <si>
    <t>11/29/2024 at 20:47:37 UTC</t>
  </si>
  <si>
    <t>10/12/2023 at 19:34:49 UTC</t>
  </si>
  <si>
    <t>Blue Sky Statistics</t>
  </si>
  <si>
    <t>12/22/2022 at 22:17:17 UTC</t>
  </si>
  <si>
    <t>03/04/2024 at 21:12:44 UTC</t>
  </si>
  <si>
    <t>Bodystat</t>
  </si>
  <si>
    <t>06/11/2024 at 16:45:40 UTC</t>
  </si>
  <si>
    <t>impedimed</t>
  </si>
  <si>
    <t>Bodyswaps</t>
  </si>
  <si>
    <t>Bootstrap Core Team</t>
  </si>
  <si>
    <t>02/08/2024 at 15:45:13 UTC</t>
  </si>
  <si>
    <t>01/24/2024 at 03:39:24 UTC</t>
  </si>
  <si>
    <t>Bosch Security Systems</t>
  </si>
  <si>
    <t>04/19/2024 at 03:49:22 UTC</t>
  </si>
  <si>
    <t>12/13/2024 at 19:36:25 UTC</t>
  </si>
  <si>
    <t>12/13/2024 at 19:38:12 UTC</t>
  </si>
  <si>
    <t>Brain Products GmbH</t>
  </si>
  <si>
    <t>Brain Innovation</t>
  </si>
  <si>
    <t>Brekeke</t>
  </si>
  <si>
    <t>09/10/2024 at 15:46:02 UTC</t>
  </si>
  <si>
    <t>Bruno</t>
  </si>
  <si>
    <t>06/04/2024 at 13:52:26 UTC</t>
  </si>
  <si>
    <t>Bucher + Suter</t>
  </si>
  <si>
    <t>07/10/2024 at 12:15:39 UTC</t>
  </si>
  <si>
    <t>Bullzip</t>
  </si>
  <si>
    <t>02/02/2024 at 03:13:39 UTC</t>
  </si>
  <si>
    <t>09/03/2024 at 15:13:37 UTC</t>
  </si>
  <si>
    <t>10/16/2024 at 21:30:50 UTC</t>
  </si>
  <si>
    <t>CakePHP</t>
  </si>
  <si>
    <t>11/02/2022 at 04:10:23 UTC</t>
  </si>
  <si>
    <t>12/26/2024 at 22:35:50 UTC</t>
  </si>
  <si>
    <t>Instructure</t>
  </si>
  <si>
    <t>07/16/2024 at 18:26:15 UTC</t>
  </si>
  <si>
    <t>Canvas GFX</t>
  </si>
  <si>
    <t>02/16/2024 at 17:19:50 UTC</t>
  </si>
  <si>
    <t>CaptureTech</t>
  </si>
  <si>
    <t>01/24/2024 at 03:41:03 UTC</t>
  </si>
  <si>
    <t>Cardiac Insight</t>
  </si>
  <si>
    <t>10/30/2024 at 15:24:38 UTC</t>
  </si>
  <si>
    <t>CardExchange Solutions</t>
  </si>
  <si>
    <t>04/19/2024 at 03:49:15 UTC</t>
  </si>
  <si>
    <t>CardImaging</t>
  </si>
  <si>
    <t>01/18/2024 at 17:17:04 UTC</t>
  </si>
  <si>
    <t>Stanford University</t>
  </si>
  <si>
    <t>11/09/2023 at 19:23:08 UTC</t>
  </si>
  <si>
    <t>cardPresso</t>
  </si>
  <si>
    <t>11/07/2024 at 19:09:09 UTC</t>
  </si>
  <si>
    <t>08/04/2023 at 00:45:57 UTC</t>
  </si>
  <si>
    <t>03/14/2024 at 16:04:16 UTC</t>
  </si>
  <si>
    <t>OpenGov Cloud</t>
  </si>
  <si>
    <t>US Department of Justice</t>
  </si>
  <si>
    <t>12/19/2023 at 19:20:34 UTC</t>
  </si>
  <si>
    <t>CData Software</t>
  </si>
  <si>
    <t>12/02/2024 at 22:51:06 UTC</t>
  </si>
  <si>
    <t>Cedars-Sinai Medical Center</t>
  </si>
  <si>
    <t>03/17/2023 at 17:39:47 UTC</t>
  </si>
  <si>
    <t>01/07/2025 at 01:24:54 UTC</t>
  </si>
  <si>
    <t>Cerberus</t>
  </si>
  <si>
    <t>04/22/2024 at 17:37:35 UTC</t>
  </si>
  <si>
    <t>02/16/2023 at 18:15:10 UTC</t>
  </si>
  <si>
    <t>CFEngine</t>
  </si>
  <si>
    <t>12/28/2023 at 20:12:15 UTC</t>
  </si>
  <si>
    <t>CFturbo</t>
  </si>
  <si>
    <t>Segment</t>
  </si>
  <si>
    <t>02/14/2023 at 03:11:01 UTC</t>
  </si>
  <si>
    <t>Michal Golebiowski-Owczarek</t>
  </si>
  <si>
    <t>07/29/2022 at 17:25:10 UTC</t>
  </si>
  <si>
    <t>05/30/2024 at 02:59:25 UTC</t>
  </si>
  <si>
    <t>Maxon</t>
  </si>
  <si>
    <t>03/13/2024 at 17:14:14 UTC</t>
  </si>
  <si>
    <t>02/02/2024 at 03:13:44 UTC</t>
  </si>
  <si>
    <t>10/31/2024 at 16:35:47 UTC</t>
  </si>
  <si>
    <t>12/09/2024 at 16:13:32 UTC</t>
  </si>
  <si>
    <t>10/25/2024 at 15:59:09 UTC</t>
  </si>
  <si>
    <t>12/10/2024 at 18:07:39 UTC</t>
  </si>
  <si>
    <t>12/13/2024 at 19:38:13 UTC</t>
  </si>
  <si>
    <t>Healthcare Data Insight</t>
  </si>
  <si>
    <t>10/30/2024 at 15:24:41 UTC</t>
  </si>
  <si>
    <t>QIAGEN</t>
  </si>
  <si>
    <t>Nicolas Barraud</t>
  </si>
  <si>
    <t>12/26/2024 at 22:35:46 UTC</t>
  </si>
  <si>
    <t>Innovation Passion Automation (IPA)</t>
  </si>
  <si>
    <t>05/14/2024 at 21:56:41 UTC</t>
  </si>
  <si>
    <t>Clinical Outcomes Reporting Informatics</t>
  </si>
  <si>
    <t>10/25/2022 at 19:18:02 UTC</t>
  </si>
  <si>
    <t>CommSys</t>
  </si>
  <si>
    <t>02/02/2023 at 18:46:48 UTC</t>
  </si>
  <si>
    <t>Cloud Maker</t>
  </si>
  <si>
    <t>12/12/2023 at 12:32:50 UTC</t>
  </si>
  <si>
    <t>Cloudbees</t>
  </si>
  <si>
    <t>04/30/2024 at 17:14:36 UTC</t>
  </si>
  <si>
    <t>Lansweeper</t>
  </si>
  <si>
    <t>Duncan Ferguson</t>
  </si>
  <si>
    <t>AutomationDirect</t>
  </si>
  <si>
    <t>03/30/2023 at 19:17:56 UTC</t>
  </si>
  <si>
    <t>RF Technologies</t>
  </si>
  <si>
    <t>Code On Time</t>
  </si>
  <si>
    <t>10/30/2024 at 15:24:43 UTC</t>
  </si>
  <si>
    <t>Yes Software</t>
  </si>
  <si>
    <t>CodeIgniter</t>
  </si>
  <si>
    <t>04/22/2024 at 17:37:32 UTC</t>
  </si>
  <si>
    <t>10/06/2023 at 13:46:59 UTC</t>
  </si>
  <si>
    <t>Coginiti</t>
  </si>
  <si>
    <t>Cognex</t>
  </si>
  <si>
    <t>Collibra</t>
  </si>
  <si>
    <t>02/15/2024 at 23:03:52 UTC</t>
  </si>
  <si>
    <t>02/15/2024 at 23:03:56 UTC</t>
  </si>
  <si>
    <t>01/30/2024 at 01:08:06 UTC</t>
  </si>
  <si>
    <t>01/06/2025 at 16:59:02 UTC</t>
  </si>
  <si>
    <t>Ortus Solutions</t>
  </si>
  <si>
    <t>03/08/2024 at 03:13:22 UTC</t>
  </si>
  <si>
    <t>NetCentric Technologies</t>
  </si>
  <si>
    <t>08/27/2024 at 02:03:13 UTC</t>
  </si>
  <si>
    <t>Coapt, LLC</t>
  </si>
  <si>
    <t>07/03/2024 at 19:34:04 UTC</t>
  </si>
  <si>
    <t>CKAN</t>
  </si>
  <si>
    <t>10/25/2022 at 19:18:03 UTC</t>
  </si>
  <si>
    <t>04/24/2024 at 18:28:08 UTC</t>
  </si>
  <si>
    <t>Confluent, Inc</t>
  </si>
  <si>
    <t>12/20/2024 at 22:31:54 UTC</t>
  </si>
  <si>
    <t>Cantel Medical</t>
  </si>
  <si>
    <t>09/19/2024 at 17:25:14 UTC</t>
  </si>
  <si>
    <t>Connexall</t>
  </si>
  <si>
    <t>12/28/2023 at 20:12:16 UTC</t>
  </si>
  <si>
    <t>05/03/2023 at 03:31:36 UTC</t>
  </si>
  <si>
    <t>Shimmersensing</t>
  </si>
  <si>
    <t>03/27/2023 at 01:06:49 UTC</t>
  </si>
  <si>
    <t>Contex</t>
  </si>
  <si>
    <t>01/18/2024 at 02:49:53 UTC</t>
  </si>
  <si>
    <t>05/16/2023 at 19:05:02 UTC</t>
  </si>
  <si>
    <t>dominKnow</t>
  </si>
  <si>
    <t>01/04/2024 at 03:41:13 UTC</t>
  </si>
  <si>
    <t>Stalker Radar</t>
  </si>
  <si>
    <t>Capstorm</t>
  </si>
  <si>
    <t>INVIA, LLC</t>
  </si>
  <si>
    <t>COZYROC</t>
  </si>
  <si>
    <t>03/04/2024 at 18:04:16 UTC</t>
  </si>
  <si>
    <t>03/20/2024 at 02:44:56 UTC</t>
  </si>
  <si>
    <t>Cribl</t>
  </si>
  <si>
    <t>12/20/2024 at 21:29:10 UTC</t>
  </si>
  <si>
    <t>01/03/2024 at 04:39:43 UTC</t>
  </si>
  <si>
    <t>09/28/2023 at 15:36:20 UTC</t>
  </si>
  <si>
    <t>Crystal Dew World</t>
  </si>
  <si>
    <t>Curbell Medical Products, Inc</t>
  </si>
  <si>
    <t>04/30/2024 at 17:14:31 UTC</t>
  </si>
  <si>
    <t>Compumedics Neuroscan</t>
  </si>
  <si>
    <t>Acro Software</t>
  </si>
  <si>
    <t>07/15/2024 at 19:06:12 UTC</t>
  </si>
  <si>
    <t>02/12/2024 at 03:26:07 UTC</t>
  </si>
  <si>
    <t>TeleComp</t>
  </si>
  <si>
    <t>11/20/2024 at 14:40:31 UTC</t>
  </si>
  <si>
    <t>Cytoscape Consortium</t>
  </si>
  <si>
    <t>03/14/2024 at 16:04:27 UTC</t>
  </si>
  <si>
    <t>Dante</t>
  </si>
  <si>
    <t>10/29/2024 at 19:18:13 UTC</t>
  </si>
  <si>
    <t>Codonics</t>
  </si>
  <si>
    <t>03/14/2023 at 16:27:24 UTC</t>
  </si>
  <si>
    <t>Databricks / Open Source</t>
  </si>
  <si>
    <t>09/19/2024 at 17:25:16 UTC</t>
  </si>
  <si>
    <t>DataRay Incorporated</t>
  </si>
  <si>
    <t>06/03/2024 at 19:06:10 UTC</t>
  </si>
  <si>
    <t>DAX Studio</t>
  </si>
  <si>
    <t>Devart</t>
  </si>
  <si>
    <t>01/25/2023 at 18:04:21 UTC</t>
  </si>
  <si>
    <t>dbt Labs</t>
  </si>
  <si>
    <t>12/05/2023 at 03:43:08 UTC</t>
  </si>
  <si>
    <t>DbUp</t>
  </si>
  <si>
    <t>01/25/2023 at 18:04:24 UTC</t>
  </si>
  <si>
    <t>05/11/2023 at 13:52:29 UTC</t>
  </si>
  <si>
    <t>10/07/2024 at 22:23:14 UTC</t>
  </si>
  <si>
    <t>Axway</t>
  </si>
  <si>
    <t>03/27/2024 at 01:49:23 UTC</t>
  </si>
  <si>
    <t>12/06/2023 at 02:44:01 UTC</t>
  </si>
  <si>
    <t>10/24/2023 at 01:34:30 UTC</t>
  </si>
  <si>
    <t>06/03/2024 at 19:05:45 UTC</t>
  </si>
  <si>
    <t>Integrated Vital Medical Dynamics, LLC</t>
  </si>
  <si>
    <t>Tecniplast</t>
  </si>
  <si>
    <t>03/19/2024 at 00:47:17 UTC</t>
  </si>
  <si>
    <t>Fluxicon BV</t>
  </si>
  <si>
    <t>Gimmal</t>
  </si>
  <si>
    <t>06/03/2024 at 19:06:18 UTC</t>
  </si>
  <si>
    <t>Binary Fortress Software</t>
  </si>
  <si>
    <t>02/23/2024 at 14:30:47 UTC</t>
  </si>
  <si>
    <t>Synaptics</t>
  </si>
  <si>
    <t>07/25/2024 at 14:42:57 UTC</t>
  </si>
  <si>
    <t>Open Options</t>
  </si>
  <si>
    <t>07/02/2024 at 20:03:28 UTC</t>
  </si>
  <si>
    <t>01/11/2024 at 15:55:38 UTC</t>
  </si>
  <si>
    <t>09/19/2024 at 17:25:22 UTC</t>
  </si>
  <si>
    <t>Docmosis</t>
  </si>
  <si>
    <t>01/24/2024 at 03:41:13 UTC</t>
  </si>
  <si>
    <t>11/08/2024 at 02:03:34 UTC</t>
  </si>
  <si>
    <t>10/25/2023 at 20:45:49 UTC</t>
  </si>
  <si>
    <t>06/10/2024 at 15:39:08 UTC</t>
  </si>
  <si>
    <t>04/19/2024 at 03:49:27 UTC</t>
  </si>
  <si>
    <t>01/30/2024 at 00:09:08 UTC</t>
  </si>
  <si>
    <t>Your Dolphin</t>
  </si>
  <si>
    <t>Origin Instruments</t>
  </si>
  <si>
    <t>11/08/2023 at 17:18:58 UTC</t>
  </si>
  <si>
    <t>04/04/2023 at 02:07:11 UTC</t>
  </si>
  <si>
    <t>Dremel Digilab</t>
  </si>
  <si>
    <t>01/30/2024 at 01:08:35 UTC</t>
  </si>
  <si>
    <t>02/28/2023 at 20:32:26 UTC</t>
  </si>
  <si>
    <t>05/29/2024 at 02:13:29 UTC</t>
  </si>
  <si>
    <t>Dun &amp; Bradstreet</t>
  </si>
  <si>
    <t>03/25/2024 at 16:46:05 UTC</t>
  </si>
  <si>
    <t>Plauti</t>
  </si>
  <si>
    <t>10/27/2022 at 16:48:57 UTC</t>
  </si>
  <si>
    <t>Smartbox</t>
  </si>
  <si>
    <t>12/12/2022 at 03:47:24 UTC</t>
  </si>
  <si>
    <t>06/03/2024 at 19:05:50 UTC</t>
  </si>
  <si>
    <t>07/16/2024 at 18:26:13 UTC</t>
  </si>
  <si>
    <t>10/10/2024 at 02:06:16 UTC</t>
  </si>
  <si>
    <t>Phoenix Software</t>
  </si>
  <si>
    <t>EaseUS</t>
  </si>
  <si>
    <t>11/16/2023 at 20:31:14 UTC</t>
  </si>
  <si>
    <t>11/07/2024 at 19:09:17 UTC</t>
  </si>
  <si>
    <t>Larasian</t>
  </si>
  <si>
    <t>01/25/2024 at 01:33:42 UTC</t>
  </si>
  <si>
    <t>Eaton</t>
  </si>
  <si>
    <t>01/11/2024 at 17:00:52 UTC</t>
  </si>
  <si>
    <t>Cognosante</t>
  </si>
  <si>
    <t>University of Utah, Department of Epidemiology</t>
  </si>
  <si>
    <t>Quantum Rehab</t>
  </si>
  <si>
    <t>01/17/2024 at 19:24:44 UTC</t>
  </si>
  <si>
    <t>Editplus</t>
  </si>
  <si>
    <t>07/02/2024 at 20:03:30 UTC</t>
  </si>
  <si>
    <t>eGain</t>
  </si>
  <si>
    <t>09/29/2023 at 16:03:13 UTC</t>
  </si>
  <si>
    <t>01/06/2025 at 02:04:57 UTC</t>
  </si>
  <si>
    <t>Eggplant</t>
  </si>
  <si>
    <t>11/20/2024 at 14:40:21 UTC</t>
  </si>
  <si>
    <t>10/14/2024 at 01:22:50 UTC</t>
  </si>
  <si>
    <t>01/02/2025 at 15:06:27 UTC</t>
  </si>
  <si>
    <t>11/26/2024 at 15:08:07 UTC</t>
  </si>
  <si>
    <t>09/23/2024 at 17:31:18 UTC</t>
  </si>
  <si>
    <t>09/26/2024 at 17:51:04 UTC</t>
  </si>
  <si>
    <t>Spinetix</t>
  </si>
  <si>
    <t>Elitech Technology</t>
  </si>
  <si>
    <t>01/25/2024 at 23:26:24 UTC</t>
  </si>
  <si>
    <t>Embrava</t>
  </si>
  <si>
    <t>01/08/2024 at 16:00:15 UTC</t>
  </si>
  <si>
    <t>11/25/2024 at 18:02:03 UTC</t>
  </si>
  <si>
    <t>11/29/2024 at 20:47:39 UTC</t>
  </si>
  <si>
    <t>11/14/2024 at 18:51:32 UTC</t>
  </si>
  <si>
    <t>EMCO Software</t>
  </si>
  <si>
    <t>HeartMath</t>
  </si>
  <si>
    <t>08/06/2024 at 18:45:04 UTC</t>
  </si>
  <si>
    <t>Zoll Itamar</t>
  </si>
  <si>
    <t>11/14/2024 at 18:51:18 UTC</t>
  </si>
  <si>
    <t>02/23/2024 at 02:53:32 UTC</t>
  </si>
  <si>
    <t>Enghouse Interactive</t>
  </si>
  <si>
    <t>04/01/2024 at 02:09:07 UTC</t>
  </si>
  <si>
    <t>Enscape</t>
  </si>
  <si>
    <t>Keyfactor</t>
  </si>
  <si>
    <t>Dedicated Micros</t>
  </si>
  <si>
    <t>05/09/2023 at 19:44:09 UTC</t>
  </si>
  <si>
    <t>Open Web Application Security Project</t>
  </si>
  <si>
    <t>Enthought</t>
  </si>
  <si>
    <t>06/03/2024 at 19:05:58 UTC</t>
  </si>
  <si>
    <t>05/20/2024 at 17:25:08 UTC</t>
  </si>
  <si>
    <t>dormakaba</t>
  </si>
  <si>
    <t>01/07/2025 at 01:24:59 UTC</t>
  </si>
  <si>
    <t>11/06/2024 at 02:07:35 UTC</t>
  </si>
  <si>
    <t>AnX Robotics</t>
  </si>
  <si>
    <t>Stratus Technologies</t>
  </si>
  <si>
    <t>Badgy Solutions</t>
  </si>
  <si>
    <t>Radiometer America</t>
  </si>
  <si>
    <t>06/03/2024 at 19:06:11 UTC</t>
  </si>
  <si>
    <t>12/22/2023 at 20:35:46 UTC</t>
  </si>
  <si>
    <t>BioEx Systems</t>
  </si>
  <si>
    <t>XrmToolBox</t>
  </si>
  <si>
    <t>ExtraView Corporation</t>
  </si>
  <si>
    <t>AirTrack</t>
  </si>
  <si>
    <t>Meridiaars</t>
  </si>
  <si>
    <t>11/25/2024 at 18:02:56 UTC</t>
  </si>
  <si>
    <t>03/19/2024 at 00:47:18 UTC</t>
  </si>
  <si>
    <t>FANUC</t>
  </si>
  <si>
    <t>10/27/2023 at 17:43:42 UTC</t>
  </si>
  <si>
    <t>03/01/2024 at 00:55:48 UTC</t>
  </si>
  <si>
    <t>07/19/2024 at 16:33:45 UTC</t>
  </si>
  <si>
    <t>07/12/2022 at 19:30:41 UTC</t>
  </si>
  <si>
    <t>03/07/2024 at 02:25:40 UTC</t>
  </si>
  <si>
    <t>FedEx, Inc</t>
  </si>
  <si>
    <t>Trident Services</t>
  </si>
  <si>
    <t>01/25/2024 at 01:33:55 UTC</t>
  </si>
  <si>
    <t>Stardock</t>
  </si>
  <si>
    <t>Filehold Systems</t>
  </si>
  <si>
    <t>02/23/2024 at 14:30:52 UTC</t>
  </si>
  <si>
    <t>Film Impact</t>
  </si>
  <si>
    <t>12/06/2023 at 02:43:52 UTC</t>
  </si>
  <si>
    <t>11/29/2024 at 17:31:36 UTC</t>
  </si>
  <si>
    <t>Langmuir Systems</t>
  </si>
  <si>
    <t>Firstbeat</t>
  </si>
  <si>
    <t>09/26/2024 at 17:51:17 UTC</t>
  </si>
  <si>
    <t>10/23/2024 at 01:31:28 UTC</t>
  </si>
  <si>
    <t>Revenera</t>
  </si>
  <si>
    <t>04/19/2024 at 03:49:19 UTC</t>
  </si>
  <si>
    <t>BreezeTree</t>
  </si>
  <si>
    <t>01/25/2023 at 18:04:20 UTC</t>
  </si>
  <si>
    <t>James Gregory</t>
  </si>
  <si>
    <t>03/27/2023 at 15:43:23 UTC</t>
  </si>
  <si>
    <t>FMRIB Analysis Group</t>
  </si>
  <si>
    <t>Dave Gandy</t>
  </si>
  <si>
    <t>12/07/2022 at 20:44:54 UTC</t>
  </si>
  <si>
    <t>02/01/2024 at 03:23:45 UTC</t>
  </si>
  <si>
    <t>Harris Schneiderman</t>
  </si>
  <si>
    <t>12/13/2024 at 19:38:14 UTC</t>
  </si>
  <si>
    <t>Formax</t>
  </si>
  <si>
    <t>09/22/2023 at 14:26:44 UTC</t>
  </si>
  <si>
    <t>Formlabs</t>
  </si>
  <si>
    <t>03/19/2024 at 00:47:27 UTC</t>
  </si>
  <si>
    <t>VSDC</t>
  </si>
  <si>
    <t>SignalWire</t>
  </si>
  <si>
    <t>FreeType</t>
  </si>
  <si>
    <t>10/31/2023 at 15:57:03 UTC</t>
  </si>
  <si>
    <t>Userland</t>
  </si>
  <si>
    <t>01/05/2023 at 01:50:59 UTC</t>
  </si>
  <si>
    <t>Information Mapping</t>
  </si>
  <si>
    <t>Fuji Film USA</t>
  </si>
  <si>
    <t>11/29/2022 at 17:19:11 UTC</t>
  </si>
  <si>
    <t>12/13/2024 at 19:36:22 UTC</t>
  </si>
  <si>
    <t>12/09/2022 at 20:10:55 UTC</t>
  </si>
  <si>
    <t>Dolbey</t>
  </si>
  <si>
    <t>InfoSoft Global Private Limited, FusionCharts</t>
  </si>
  <si>
    <t>02/05/2024 at 18:07:07 UTC</t>
  </si>
  <si>
    <t>E-Control Systems</t>
  </si>
  <si>
    <t>Ashland</t>
  </si>
  <si>
    <t>Garmin</t>
  </si>
  <si>
    <t>Open Policy Agent</t>
  </si>
  <si>
    <t>11/16/2023 at 17:25:29 UTC</t>
  </si>
  <si>
    <t>Aptech</t>
  </si>
  <si>
    <t>05/09/2023 at 03:56:06 UTC</t>
  </si>
  <si>
    <t>Gen3 Data Commons</t>
  </si>
  <si>
    <t>Genasys</t>
  </si>
  <si>
    <t>ActivInsights</t>
  </si>
  <si>
    <t>Bull-Atos technologies</t>
  </si>
  <si>
    <t>Genesys</t>
  </si>
  <si>
    <t>06/21/2024 at 02:48:45 UTC</t>
  </si>
  <si>
    <t>06/21/2024 at 02:48:46 UTC</t>
  </si>
  <si>
    <t>03/14/2024 at 15:09:01 UTC</t>
  </si>
  <si>
    <t>02/15/2024 at 23:27:34 UTC</t>
  </si>
  <si>
    <t>VitalSmarts</t>
  </si>
  <si>
    <t>11/15/2024 at 22:28:40 UTC</t>
  </si>
  <si>
    <t>Axosoft</t>
  </si>
  <si>
    <t>12/09/2024 at 18:20:07 UTC</t>
  </si>
  <si>
    <t>02/12/2024 at 20:36:43 UTC</t>
  </si>
  <si>
    <t>02/28/2024 at 16:07:26 UTC</t>
  </si>
  <si>
    <t>Google Developers</t>
  </si>
  <si>
    <t>12/13/2024 at 19:36:28 UTC</t>
  </si>
  <si>
    <t>Harvard Medical School</t>
  </si>
  <si>
    <t>01/08/2025 at 18:20:28 UTC</t>
  </si>
  <si>
    <t>Stratasys</t>
  </si>
  <si>
    <t>10/17/2023 at 15:01:09 UTC</t>
  </si>
  <si>
    <t>Ashlar Vellum</t>
  </si>
  <si>
    <t>10/25/2024 at 15:59:12 UTC</t>
  </si>
  <si>
    <t>SDM Software</t>
  </si>
  <si>
    <t>04/01/2024 at 02:08:18 UTC</t>
  </si>
  <si>
    <t>Benoit Chesneau</t>
  </si>
  <si>
    <t>01/03/2024 at 04:39:51 UTC</t>
  </si>
  <si>
    <t>RKI Instruments</t>
  </si>
  <si>
    <t>Ham Radio Deluxe (HRD) Software, LLC</t>
  </si>
  <si>
    <t>Taska</t>
  </si>
  <si>
    <t>HAProxy</t>
  </si>
  <si>
    <t>06/21/2024 at 22:00:35 UTC</t>
  </si>
  <si>
    <t>12/12/2023 at 12:52:43 UTC</t>
  </si>
  <si>
    <t>07/10/2024 at 19:17:22 UTC</t>
  </si>
  <si>
    <t>Healenium</t>
  </si>
  <si>
    <t>10/23/2023 at 14:42:50 UTC</t>
  </si>
  <si>
    <t>Health Financial Systems</t>
  </si>
  <si>
    <t>01/18/2023 at 17:07:44 UTC</t>
  </si>
  <si>
    <t>James Agnew</t>
  </si>
  <si>
    <t>University Health Network</t>
  </si>
  <si>
    <t>04/09/2019 at 13:54:25 UTC</t>
  </si>
  <si>
    <t>04/07/2019 at 21:08:05 UTC</t>
  </si>
  <si>
    <t>Health Literacy Innovations</t>
  </si>
  <si>
    <t>HeliconSoft</t>
  </si>
  <si>
    <t>04/23/2024 at 01:42:36 UTC</t>
  </si>
  <si>
    <t>Cloud Native Computing Foundation</t>
  </si>
  <si>
    <t>11/06/2024 at 02:07:40 UTC</t>
  </si>
  <si>
    <t>09/10/2024 at 15:46:06 UTC</t>
  </si>
  <si>
    <t>CSafe Global</t>
  </si>
  <si>
    <t>10/13/2023 at 18:32:51 UTC</t>
  </si>
  <si>
    <t>Highsoft</t>
  </si>
  <si>
    <t>10/08/2018 at 20:59:09 UTC</t>
  </si>
  <si>
    <t>02/06/2024 at 02:01:21 UTC</t>
  </si>
  <si>
    <t>Voice Elements</t>
  </si>
  <si>
    <t>Caret</t>
  </si>
  <si>
    <t>11/21/2023 at 21:38:50 UTC</t>
  </si>
  <si>
    <t>Abacusnext</t>
  </si>
  <si>
    <t>10/16/2024 at 13:10:14 UTC</t>
  </si>
  <si>
    <t>01/18/2024 at 02:50:36 UTC</t>
  </si>
  <si>
    <t>10/30/2024 at 15:24:53 UTC</t>
  </si>
  <si>
    <t>HUGO</t>
  </si>
  <si>
    <t>02/06/2019 at 09:44:48 UTC</t>
  </si>
  <si>
    <t>Hyperionics</t>
  </si>
  <si>
    <t>Kenzitron</t>
  </si>
  <si>
    <t>H5P</t>
  </si>
  <si>
    <t>02/16/2024 at 17:19:53 UTC</t>
  </si>
  <si>
    <t>05/16/2024 at 15:53:23 UTC</t>
  </si>
  <si>
    <t>ICOM</t>
  </si>
  <si>
    <t>02/12/2024 at 20:36:44 UTC</t>
  </si>
  <si>
    <t>iCONECT</t>
  </si>
  <si>
    <t>Rose Medical Solutions</t>
  </si>
  <si>
    <t>Macroplant LLC</t>
  </si>
  <si>
    <t>03/20/2024 at 02:44:57 UTC</t>
  </si>
  <si>
    <t>WaveMetrics Inc</t>
  </si>
  <si>
    <t>11/17/2022 at 01:39:44 UTC</t>
  </si>
  <si>
    <t>05/03/2023 at 16:52:53 UTC</t>
  </si>
  <si>
    <t>08/30/2024 at 16:19:29 UTC</t>
  </si>
  <si>
    <t>02/02/2024 at 03:13:50 UTC</t>
  </si>
  <si>
    <t>IMAGINiT Technologies</t>
  </si>
  <si>
    <t>Beside Software</t>
  </si>
  <si>
    <t>Doug Finke</t>
  </si>
  <si>
    <t>04/22/2024 at 17:37:28 UTC</t>
  </si>
  <si>
    <t>FEMA</t>
  </si>
  <si>
    <t>12/18/2022 at 20:27:48 UTC</t>
  </si>
  <si>
    <t>11/20/2024 at 14:40:29 UTC</t>
  </si>
  <si>
    <t>Inqscribe</t>
  </si>
  <si>
    <t>04/10/2024 at 17:17:07 UTC</t>
  </si>
  <si>
    <t>Siemens AG</t>
  </si>
  <si>
    <t>07/01/2024 at 19:39:39 UTC</t>
  </si>
  <si>
    <t>06/03/2024 at 16:54:53 UTC</t>
  </si>
  <si>
    <t>MEND Technology, LLC</t>
  </si>
  <si>
    <t>CMS</t>
  </si>
  <si>
    <t>ePadLink</t>
  </si>
  <si>
    <t>09/07/2022 at 17:20:55 UTC</t>
  </si>
  <si>
    <t>Intelligent Hearing Systems</t>
  </si>
  <si>
    <t>11/25/2024 at 18:01:52 UTC</t>
  </si>
  <si>
    <t>03/22/2024 at 00:44:47 UTC</t>
  </si>
  <si>
    <t>04/04/2023 at 02:07:16 UTC</t>
  </si>
  <si>
    <t>Laconic Designs</t>
  </si>
  <si>
    <t>01/17/2023 at 17:42:13 UTC</t>
  </si>
  <si>
    <t>10/31/2024 at 16:35:45 UTC</t>
  </si>
  <si>
    <t>09/19/2024 at 17:25:27 UTC</t>
  </si>
  <si>
    <t>10/10/2023 at 15:10:54 UTC</t>
  </si>
  <si>
    <t>01/07/2025 at 01:25:04 UTC</t>
  </si>
  <si>
    <t>WHO</t>
  </si>
  <si>
    <t>Wolters Kluwer Health</t>
  </si>
  <si>
    <t>10/24/2023 at 01:34:28 UTC</t>
  </si>
  <si>
    <t>07/01/2024 at 19:39:40 UTC</t>
  </si>
  <si>
    <t>IPV</t>
  </si>
  <si>
    <t>DataLocker</t>
  </si>
  <si>
    <t>04/19/2024 at 03:49:30 UTC</t>
  </si>
  <si>
    <t>iSpring</t>
  </si>
  <si>
    <t>10/31/2024 at 16:35:38 UTC</t>
  </si>
  <si>
    <t>Istio</t>
  </si>
  <si>
    <t>10/31/2024 at 16:35:50 UTC</t>
  </si>
  <si>
    <t>09/07/2022 at 17:20:54 UTC</t>
  </si>
  <si>
    <t>AiPhone</t>
  </si>
  <si>
    <t>02/07/2024 at 17:47:28 UTC</t>
  </si>
  <si>
    <t>11/28/2023 at 16:50:19 UTC</t>
  </si>
  <si>
    <t>11/22/2023 at 14:59:44 UTC</t>
  </si>
  <si>
    <t>11/27/2023 at 17:22:44 UTC</t>
  </si>
  <si>
    <t>J2 Interactive</t>
  </si>
  <si>
    <t>Jabra/GN Netcom</t>
  </si>
  <si>
    <t>06/07/2024 at 18:33:15 UTC</t>
  </si>
  <si>
    <t>01/04/2023 at 16:50:45 UTC</t>
  </si>
  <si>
    <t>JasperSoft</t>
  </si>
  <si>
    <t>07/01/2024 at 19:39:34 UTC</t>
  </si>
  <si>
    <t>Sean Leary</t>
  </si>
  <si>
    <t>04/14/2023 at 02:14:06 UTC</t>
  </si>
  <si>
    <t>01/08/2025 at 18:20:29 UTC</t>
  </si>
  <si>
    <t>Jekyll</t>
  </si>
  <si>
    <t>09/23/2024 at 17:08:25 UTC</t>
  </si>
  <si>
    <t>Eclipse Foundation</t>
  </si>
  <si>
    <t>11/22/2022 at 22:30:49 UTC</t>
  </si>
  <si>
    <t>JFree</t>
  </si>
  <si>
    <t>01/30/2024 at 01:09:34 UTC</t>
  </si>
  <si>
    <t>JitBit</t>
  </si>
  <si>
    <t>11/29/2022 at 18:11:46 UTC</t>
  </si>
  <si>
    <t>11/12/2024 at 01:41:42 UTC</t>
  </si>
  <si>
    <t>05/11/2023 at 14:43:34 UTC</t>
  </si>
  <si>
    <t>Roland Huss</t>
  </si>
  <si>
    <t>Jetperch LLC</t>
  </si>
  <si>
    <t>Qoppa Software</t>
  </si>
  <si>
    <t>09/25/2024 at 01:50:20 UTC</t>
  </si>
  <si>
    <t>Aware, Inc,</t>
  </si>
  <si>
    <t>10/26/2023 at 19:18:29 UTC</t>
  </si>
  <si>
    <t>ZEROTURNAROUND</t>
  </si>
  <si>
    <t>02/17/2023 at 02:08:25 UTC</t>
  </si>
  <si>
    <t>Kahua</t>
  </si>
  <si>
    <t>12/20/2024 at 22:31:48 UTC</t>
  </si>
  <si>
    <t>01/18/2023 at 17:07:43 UTC</t>
  </si>
  <si>
    <t>KMS Technology</t>
  </si>
  <si>
    <t>02/23/2024 at 02:53:45 UTC</t>
  </si>
  <si>
    <t>08/16/2024 at 18:06:45 UTC</t>
  </si>
  <si>
    <t>09/23/2024 at 17:08:24 UTC</t>
  </si>
  <si>
    <t>Kinetisense</t>
  </si>
  <si>
    <t>02/02/2024 at 03:07:52 UTC</t>
  </si>
  <si>
    <t>LostRuins</t>
  </si>
  <si>
    <t>Konga</t>
  </si>
  <si>
    <t>Schrodinger, LLC</t>
  </si>
  <si>
    <t>Plenom</t>
  </si>
  <si>
    <t>KubeCost</t>
  </si>
  <si>
    <t>08/01/2024 at 15:53:41 UTC</t>
  </si>
  <si>
    <t>Ayush Sobti</t>
  </si>
  <si>
    <t>09/09/2024 at 15:24:20 UTC</t>
  </si>
  <si>
    <t>11/15/2023 at 19:11:00 UTC</t>
  </si>
  <si>
    <t>Kubios Oy</t>
  </si>
  <si>
    <t>10/31/2024 at 16:35:32 UTC</t>
  </si>
  <si>
    <t>MSS Software</t>
  </si>
  <si>
    <t>02/22/2024 at 03:38:32 UTC</t>
  </si>
  <si>
    <t>LabVantage</t>
  </si>
  <si>
    <t>07/12/2022 at 19:30:42 UTC</t>
  </si>
  <si>
    <t>Epredia</t>
  </si>
  <si>
    <t>Language Line Solutions</t>
  </si>
  <si>
    <t>LaserGRBL</t>
  </si>
  <si>
    <t>03/26/2024 at 16:10:54 UTC</t>
  </si>
  <si>
    <t>11/27/2024 at 00:44:26 UTC</t>
  </si>
  <si>
    <t>04/15/2024 at 15:52:24 UTC</t>
  </si>
  <si>
    <t>Smith+Nephew</t>
  </si>
  <si>
    <t>Leapwork</t>
  </si>
  <si>
    <t>11/15/2023 at 19:03:10 UTC</t>
  </si>
  <si>
    <t>Sonomed Escalon</t>
  </si>
  <si>
    <t>04/24/2024 at 18:28:21 UTC</t>
  </si>
  <si>
    <t>Third Iron</t>
  </si>
  <si>
    <t>LSI</t>
  </si>
  <si>
    <t>05/08/2024 at 13:47:58 UTC</t>
  </si>
  <si>
    <t>Graham Bates (gigabates)</t>
  </si>
  <si>
    <t>Blatchford, Inc</t>
  </si>
  <si>
    <t>09/16/2022 at 19:27:22 UTC</t>
  </si>
  <si>
    <t>LiquiBase</t>
  </si>
  <si>
    <t>08/13/2024 at 13:28:44 UTC</t>
  </si>
  <si>
    <t>EnvisionTEC (ETEC)</t>
  </si>
  <si>
    <t>08/27/2024 at 15:33:30 UTC</t>
  </si>
  <si>
    <t>08/27/2024 at 15:33:19 UTC</t>
  </si>
  <si>
    <t>09/12/2024 at 16:58:24 UTC</t>
  </si>
  <si>
    <t>08/27/2024 at 15:32:21 UTC</t>
  </si>
  <si>
    <t>08/27/2024 at 15:31:49 UTC</t>
  </si>
  <si>
    <t>11/06/2023 at 20:27:21 UTC</t>
  </si>
  <si>
    <t>LMDInnovative</t>
  </si>
  <si>
    <t>05/08/2024 at 13:48:01 UTC</t>
  </si>
  <si>
    <t>01/30/2024 at 00:09:34 UTC</t>
  </si>
  <si>
    <t>PUC-Rio</t>
  </si>
  <si>
    <t>11/06/2023 at 20:27:20 UTC</t>
  </si>
  <si>
    <t>12/13/2024 at 19:38:17 UTC</t>
  </si>
  <si>
    <t>Omron</t>
  </si>
  <si>
    <t>06/07/2024 at 18:33:17 UTC</t>
  </si>
  <si>
    <t>12/06/2023 at 02:44:00 UTC</t>
  </si>
  <si>
    <t>03/22/2024 at 00:45:21 UTC</t>
  </si>
  <si>
    <t>MED-EL</t>
  </si>
  <si>
    <t>09/21/2023 at 12:07:38 UTC</t>
  </si>
  <si>
    <t>LVI Low Vision International</t>
  </si>
  <si>
    <t>Equifax</t>
  </si>
  <si>
    <t>Makerbot</t>
  </si>
  <si>
    <t>ArcanaNetworks</t>
  </si>
  <si>
    <t>ManagerPlus</t>
  </si>
  <si>
    <t>04/22/2024 at 16:22:28 UTC</t>
  </si>
  <si>
    <t>04/10/2024 at 17:17:09 UTC</t>
  </si>
  <si>
    <t>07/19/2024 at 02:54:49 UTC</t>
  </si>
  <si>
    <t>Prudentia Group</t>
  </si>
  <si>
    <t>Empirisoft</t>
  </si>
  <si>
    <t>08/29/2024 at 15:54:45 UTC</t>
  </si>
  <si>
    <t>Mirdsoft</t>
  </si>
  <si>
    <t>11/14/2024 at 18:51:27 UTC</t>
  </si>
  <si>
    <t>11/07/2024 at 19:09:24 UTC</t>
  </si>
  <si>
    <t>04/05/2023 at 00:57:24 UTC</t>
  </si>
  <si>
    <t>Occupational Health Systems, Inc</t>
  </si>
  <si>
    <t>12/21/2023 at 21:23:17 UTC</t>
  </si>
  <si>
    <t>MedVantage</t>
  </si>
  <si>
    <t>Owl Labs</t>
  </si>
  <si>
    <t>12/22/2023 at 18:21:20 UTC</t>
  </si>
  <si>
    <t>Melco International</t>
  </si>
  <si>
    <t>Merrill Consultants</t>
  </si>
  <si>
    <t>MESI</t>
  </si>
  <si>
    <t>National Library of Medicine</t>
  </si>
  <si>
    <t>11/06/2024 at 02:07:48 UTC</t>
  </si>
  <si>
    <t>04/24/2024 at 18:27:14 UTC</t>
  </si>
  <si>
    <t>10/28/2024 at 13:47:30 UTC</t>
  </si>
  <si>
    <t>09/26/2024 at 15:07:46 UTC</t>
  </si>
  <si>
    <t>06/11/2024 at 16:45:47 UTC</t>
  </si>
  <si>
    <t>02/08/2024 at 15:41:35 UTC</t>
  </si>
  <si>
    <t>06/05/2024 at 12:50:30 UTC</t>
  </si>
  <si>
    <t>11/16/2023 at 20:31:17 UTC</t>
  </si>
  <si>
    <t>08/14/2024 at 18:01:43 UTC</t>
  </si>
  <si>
    <t>03/27/2024 at 02:56:32 UTC</t>
  </si>
  <si>
    <t>05/09/2024 at 19:05:35 UTC</t>
  </si>
  <si>
    <t>10/25/2024 at 15:13:45 UTC</t>
  </si>
  <si>
    <t>01/25/2024 at 01:34:20 UTC</t>
  </si>
  <si>
    <t>11/21/2023 at 14:56:59 UTC</t>
  </si>
  <si>
    <t>01/25/2024 at 01:32:52 UTC</t>
  </si>
  <si>
    <t>11/29/2024 at 20:47:41 UTC</t>
  </si>
  <si>
    <t>10/16/2024 at 12:38:14 UTC</t>
  </si>
  <si>
    <t>09/24/2024 at 16:22:02 UTC</t>
  </si>
  <si>
    <t>Milestone</t>
  </si>
  <si>
    <t>08/31/2022 at 02:19:02 UTC</t>
  </si>
  <si>
    <t>Kidasa Software</t>
  </si>
  <si>
    <t>Mindjet</t>
  </si>
  <si>
    <t>Mindware Technologies LTD</t>
  </si>
  <si>
    <t>08/30/2024 at 15:42:03 UTC</t>
  </si>
  <si>
    <t>04/29/2024 at 16:45:41 UTC</t>
  </si>
  <si>
    <t>12/02/2024 at 22:51:07 UTC</t>
  </si>
  <si>
    <t>03/01/2024 at 00:55:47 UTC</t>
  </si>
  <si>
    <t>LinkDrive</t>
  </si>
  <si>
    <t>11/16/2023 at 20:31:12 UTC</t>
  </si>
  <si>
    <t>University of Bristol</t>
  </si>
  <si>
    <t>09/13/2022 at 18:11:40 UTC</t>
  </si>
  <si>
    <t>10/13/2023 at 18:32:53 UTC</t>
  </si>
  <si>
    <t>USAccess Program</t>
  </si>
  <si>
    <t>05/16/2024 at 15:53:30 UTC</t>
  </si>
  <si>
    <t>07/20/2022 at 16:24:55 UTC</t>
  </si>
  <si>
    <t>Nathan Black</t>
  </si>
  <si>
    <t>11/16/2023 at 20:31:19 UTC</t>
  </si>
  <si>
    <t>Modula</t>
  </si>
  <si>
    <t>Duke University Health System</t>
  </si>
  <si>
    <t>10/05/2022 at 21:49:03 UTC</t>
  </si>
  <si>
    <t>04/04/2024 at 03:11:09 UTC</t>
  </si>
  <si>
    <t>Community Brands</t>
  </si>
  <si>
    <t>11/08/2024 at 02:03:23 UTC</t>
  </si>
  <si>
    <t>The Prometheus Group</t>
  </si>
  <si>
    <t>12/02/2022 at 02:34:10 UTC</t>
  </si>
  <si>
    <t>PTC</t>
  </si>
  <si>
    <t>01/23/2024 at 01:30:47 UTC</t>
  </si>
  <si>
    <t>Fillauer Motion Control</t>
  </si>
  <si>
    <t>11/20/2024 at 14:40:35 UTC</t>
  </si>
  <si>
    <t>CamNtech Inc</t>
  </si>
  <si>
    <t>Movavi</t>
  </si>
  <si>
    <t>02/08/2024 at 15:42:17 UTC</t>
  </si>
  <si>
    <t>08/27/2024 at 02:03:09 UTC</t>
  </si>
  <si>
    <t>10/07/2024 at 22:22:10 UTC</t>
  </si>
  <si>
    <t>Joel Ivey</t>
  </si>
  <si>
    <t>01/20/2023 at 16:38:08 UTC</t>
  </si>
  <si>
    <t>Netsmart</t>
  </si>
  <si>
    <t>05/01/2024 at 19:32:14 UTC</t>
  </si>
  <si>
    <t>Intercede</t>
  </si>
  <si>
    <t>09/12/2022 at 16:37:05 UTC</t>
  </si>
  <si>
    <t>Nagstamon</t>
  </si>
  <si>
    <t>10/13/2023 at 13:39:57 UTC</t>
  </si>
  <si>
    <t>Nero</t>
  </si>
  <si>
    <t>03/22/2023 at 14:22:26 UTC</t>
  </si>
  <si>
    <t>Net-SNMP</t>
  </si>
  <si>
    <t>12/19/2023 at 21:01:39 UTC</t>
  </si>
  <si>
    <t>Net Health</t>
  </si>
  <si>
    <t>08/29/2024 at 15:54:37 UTC</t>
  </si>
  <si>
    <t>07/19/2024 at 16:34:01 UTC</t>
  </si>
  <si>
    <t>11/28/2023 at 19:44:22 UTC</t>
  </si>
  <si>
    <t>NetBrain</t>
  </si>
  <si>
    <t>10/23/2023 at 14:22:11 UTC</t>
  </si>
  <si>
    <t>Netskope</t>
  </si>
  <si>
    <t>10/18/2024 at 17:34:24 UTC</t>
  </si>
  <si>
    <t>Lenel S2</t>
  </si>
  <si>
    <t>09/16/2024 at 14:58:53 UTC</t>
  </si>
  <si>
    <t>Network Canvas</t>
  </si>
  <si>
    <t>11/14/2024 at 18:51:28 UTC</t>
  </si>
  <si>
    <t>Netwrix</t>
  </si>
  <si>
    <t>NetZoom</t>
  </si>
  <si>
    <t>Applied Neuroscience, Inc</t>
  </si>
  <si>
    <t>NeuroTrax</t>
  </si>
  <si>
    <t>12/21/2023 at 21:23:26 UTC</t>
  </si>
  <si>
    <t>NewBlueFX</t>
  </si>
  <si>
    <t>11/26/2022 at 00:53:44 UTC</t>
  </si>
  <si>
    <t>05/18/2023 at 16:57:31 UTC</t>
  </si>
  <si>
    <t>Innovation Associates</t>
  </si>
  <si>
    <t>NHibernate</t>
  </si>
  <si>
    <t>04/18/2024 at 18:19:34 UTC</t>
  </si>
  <si>
    <t>Tridium</t>
  </si>
  <si>
    <t>11/04/2022 at 00:18:51 UTC</t>
  </si>
  <si>
    <t>12/21/2023 at 15:12:15 UTC</t>
  </si>
  <si>
    <t>Loftware</t>
  </si>
  <si>
    <t>04/10/2024 at 17:17:13 UTC</t>
  </si>
  <si>
    <t>Enkari, Ltd</t>
  </si>
  <si>
    <t>09/19/2022 at 18:57:47 UTC</t>
  </si>
  <si>
    <t>08/27/2024 at 02:03:25 UTC</t>
  </si>
  <si>
    <t>Nitro</t>
  </si>
  <si>
    <t>10/24/2023 at 01:39:56 UTC</t>
  </si>
  <si>
    <t>NLog</t>
  </si>
  <si>
    <t>12/15/2023 at 19:32:51 UTC</t>
  </si>
  <si>
    <t>3DS</t>
  </si>
  <si>
    <t>03/27/2024 at 01:49:30 UTC</t>
  </si>
  <si>
    <t>Node Nock</t>
  </si>
  <si>
    <t>02/02/2023 at 18:46:53 UTC</t>
  </si>
  <si>
    <t>12/12/2023 at 12:16:32 UTC</t>
  </si>
  <si>
    <t>Vivitek Corporation</t>
  </si>
  <si>
    <t>10/30/2024 at 15:25:03 UTC</t>
  </si>
  <si>
    <t>Nox Medical</t>
  </si>
  <si>
    <t>10/26/2023 at 16:23:56 UTC</t>
  </si>
  <si>
    <t>04/24/2024 at 18:27:10 UTC</t>
  </si>
  <si>
    <t>Particular Software</t>
  </si>
  <si>
    <t>11/21/2024 at 23:32:35 UTC</t>
  </si>
  <si>
    <t>Okta Developer</t>
  </si>
  <si>
    <t>01/17/2024 at 03:51:56 UTC</t>
  </si>
  <si>
    <t>Obsidian Software</t>
  </si>
  <si>
    <t>10/27/2023 at 17:43:41 UTC</t>
  </si>
  <si>
    <t>RTI Group</t>
  </si>
  <si>
    <t>11/15/2024 at 21:35:11 UTC</t>
  </si>
  <si>
    <t>OMB - The White House</t>
  </si>
  <si>
    <t>10/19/2023 at 17:58:07 UTC</t>
  </si>
  <si>
    <t>Probitas</t>
  </si>
  <si>
    <t>04/23/2024 at 01:42:38 UTC</t>
  </si>
  <si>
    <t>07/24/2024 at 04:25:00 UTC</t>
  </si>
  <si>
    <t>Olympus America</t>
  </si>
  <si>
    <t>12/12/2023 at 12:32:47 UTC</t>
  </si>
  <si>
    <t>Cosmed</t>
  </si>
  <si>
    <t>06/11/2024 at 16:45:45 UTC</t>
  </si>
  <si>
    <t>06/03/2024 at 16:54:54 UTC</t>
  </si>
  <si>
    <t>07/03/2024 at 19:34:03 UTC</t>
  </si>
  <si>
    <t>LiveAction</t>
  </si>
  <si>
    <t>Chronicle Graphics</t>
  </si>
  <si>
    <t>Fluke Biomedical</t>
  </si>
  <si>
    <t>OneTab</t>
  </si>
  <si>
    <t>Visioneer</t>
  </si>
  <si>
    <t>Talon Controls</t>
  </si>
  <si>
    <t>Obiba</t>
  </si>
  <si>
    <t>05/08/2024 at 13:47:54 UTC</t>
  </si>
  <si>
    <t>OBS Project</t>
  </si>
  <si>
    <t>10/20/2022 at 15:34:16 UTC</t>
  </si>
  <si>
    <t>OpenClinica</t>
  </si>
  <si>
    <t>04/11/2024 at 15:53:11 UTC</t>
  </si>
  <si>
    <t>OpenProject</t>
  </si>
  <si>
    <t>11/29/2024 at 20:47:25 UTC</t>
  </si>
  <si>
    <t>Krishagni Solutions</t>
  </si>
  <si>
    <t>EclecticIQ</t>
  </si>
  <si>
    <t>02/12/2024 at 20:36:34 UTC</t>
  </si>
  <si>
    <t>03/13/2023 at 16:48:02 UTC</t>
  </si>
  <si>
    <t>04/04/2024 at 03:11:05 UTC</t>
  </si>
  <si>
    <t>09/09/2024 at 15:24:23 UTC</t>
  </si>
  <si>
    <t>Oqton</t>
  </si>
  <si>
    <t>02/12/2024 at 16:52:00 UTC</t>
  </si>
  <si>
    <t>10/30/2024 at 15:24:46 UTC</t>
  </si>
  <si>
    <t>11/22/2022 at 22:30:50 UTC</t>
  </si>
  <si>
    <t>09/21/2022 at 16:25:37 UTC</t>
  </si>
  <si>
    <t>10/28/2024 at 16:28:26 UTC</t>
  </si>
  <si>
    <t>10/14/2024 at 01:22:56 UTC</t>
  </si>
  <si>
    <t>OfficeWork Software</t>
  </si>
  <si>
    <t>09/17/2024 at 16:21:50 UTC</t>
  </si>
  <si>
    <t>Orthanc</t>
  </si>
  <si>
    <t>Active Life Scientific, Inc</t>
  </si>
  <si>
    <t>09/13/2022 at 18:11:32 UTC</t>
  </si>
  <si>
    <t>Oxford Medical Simulation</t>
  </si>
  <si>
    <t>03/14/2024 at 15:09:20 UTC</t>
  </si>
  <si>
    <t>11/07/2024 at 19:09:18 UTC</t>
  </si>
  <si>
    <t>Palantir</t>
  </si>
  <si>
    <t>11/06/2023 at 20:27:18 UTC</t>
  </si>
  <si>
    <t>Palarum</t>
  </si>
  <si>
    <t>12/14/2023 at 21:59:05 UTC</t>
  </si>
  <si>
    <t>PaperCut</t>
  </si>
  <si>
    <t>10/16/2024 at 21:32:10 UTC</t>
  </si>
  <si>
    <t>PathVisio</t>
  </si>
  <si>
    <t>04/04/2024 at 15:40:23 UTC</t>
  </si>
  <si>
    <t>NatVanG</t>
  </si>
  <si>
    <t>PDQ</t>
  </si>
  <si>
    <t>03/06/2024 at 04:24:49 UTC</t>
  </si>
  <si>
    <t>Evolus</t>
  </si>
  <si>
    <t>04/11/2023 at 03:24:26 UTC</t>
  </si>
  <si>
    <t>LG</t>
  </si>
  <si>
    <t>Perfusion Data Solutions (PDS) Medical Solutions</t>
  </si>
  <si>
    <t>10/16/2024 at 13:10:11 UTC</t>
  </si>
  <si>
    <t>PeriopSim</t>
  </si>
  <si>
    <t>05/22/2024 at 16:16:02 UTC</t>
  </si>
  <si>
    <t>UAMS Department of Biomedical Informatics</t>
  </si>
  <si>
    <t>01/04/2024 at 03:41:21 UTC</t>
  </si>
  <si>
    <t>03/18/2024 at 23:45:02 UTC</t>
  </si>
  <si>
    <t>11/09/2022 at 17:06:58 UTC</t>
  </si>
  <si>
    <t>Smiths Medical</t>
  </si>
  <si>
    <t>12/02/2022 at 03:50:52 UTC</t>
  </si>
  <si>
    <t>03/04/2024 at 18:04:15 UTC</t>
  </si>
  <si>
    <t>06/18/2024 at 21:35:49 UTC</t>
  </si>
  <si>
    <t>12/29/2023 at 15:28:43 UTC</t>
  </si>
  <si>
    <t>Nagarsoft</t>
  </si>
  <si>
    <t>02/15/2024 at 20:11:06 UTC</t>
  </si>
  <si>
    <t>Aardex Group</t>
  </si>
  <si>
    <t>01/30/2024 at 01:10:17 UTC</t>
  </si>
  <si>
    <t>PingPlotter</t>
  </si>
  <si>
    <t>08/27/2024 at 15:31:15 UTC</t>
  </si>
  <si>
    <t>Sielox LLC</t>
  </si>
  <si>
    <t>10/14/2024 at 01:23:33 UTC</t>
  </si>
  <si>
    <t>PKWARE</t>
  </si>
  <si>
    <t>09/20/2022 at 16:19:49 UTC</t>
  </si>
  <si>
    <t>PlantUML</t>
  </si>
  <si>
    <t>10/02/2024 at 14:48:29 UTC</t>
  </si>
  <si>
    <t>Tasktop Technologies</t>
  </si>
  <si>
    <t>Podman</t>
  </si>
  <si>
    <t>Echo360</t>
  </si>
  <si>
    <t>Ritchie Vink</t>
  </si>
  <si>
    <t>02/13/2023 at 18:23:25 UTC</t>
  </si>
  <si>
    <t>Accucold</t>
  </si>
  <si>
    <t>06/21/2024 at 02:48:53 UTC</t>
  </si>
  <si>
    <t>09/17/2024 at 16:21:52 UTC</t>
  </si>
  <si>
    <t>Wietse Venema</t>
  </si>
  <si>
    <t>03/26/2024 at 16:11:04 UTC</t>
  </si>
  <si>
    <t>Data-Marc</t>
  </si>
  <si>
    <t>10/13/2023 at 18:32:49 UTC</t>
  </si>
  <si>
    <t>Alpha Serve</t>
  </si>
  <si>
    <t>Tabular Tools</t>
  </si>
  <si>
    <t>DevScope</t>
  </si>
  <si>
    <t>09/16/2022 at 19:27:20 UTC</t>
  </si>
  <si>
    <t>IMS Imaging</t>
  </si>
  <si>
    <t>04/01/2024 at 02:08:20 UTC</t>
  </si>
  <si>
    <t>01/30/2024 at 01:10:26 UTC</t>
  </si>
  <si>
    <t>Appeon</t>
  </si>
  <si>
    <t>APC</t>
  </si>
  <si>
    <t>03/28/2024 at 15:20:16 UTC</t>
  </si>
  <si>
    <t>04/30/2024 at 17:14:32 UTC</t>
  </si>
  <si>
    <t>Powerops</t>
  </si>
  <si>
    <t>Cyber Power Systems</t>
  </si>
  <si>
    <t>02/06/2024 at 02:01:32 UTC</t>
  </si>
  <si>
    <t>e-ImageData Corp</t>
  </si>
  <si>
    <t>03/13/2024 at 17:16:52 UTC</t>
  </si>
  <si>
    <t>04/04/2024 at 03:11:01 UTC</t>
  </si>
  <si>
    <t>BitScopic</t>
  </si>
  <si>
    <t>TeleResults Corporation</t>
  </si>
  <si>
    <t>Prezi</t>
  </si>
  <si>
    <t>04/05/2023 at 00:57:33 UTC</t>
  </si>
  <si>
    <t>09/20/2022 at 17:58:37 UTC</t>
  </si>
  <si>
    <t>03/14/2024 at 15:09:13 UTC</t>
  </si>
  <si>
    <t>Anzio</t>
  </si>
  <si>
    <t>11/25/2024 at 18:02:54 UTC</t>
  </si>
  <si>
    <t>PrinterLogic</t>
  </si>
  <si>
    <t>05/16/2024 at 15:53:32 UTC</t>
  </si>
  <si>
    <t>Objectif Lune</t>
  </si>
  <si>
    <t>04/04/2023 at 02:07:24 UTC</t>
  </si>
  <si>
    <t>11/22/2023 at 14:40:34 UTC</t>
  </si>
  <si>
    <t>Allaround Automations</t>
  </si>
  <si>
    <t>ProModel Corporation</t>
  </si>
  <si>
    <t>02/15/2024 at 23:27:37 UTC</t>
  </si>
  <si>
    <t>10/13/2022 at 21:20:24 UTC</t>
  </si>
  <si>
    <t>Rentouch</t>
  </si>
  <si>
    <t>01/30/2024 at 01:10:41 UTC</t>
  </si>
  <si>
    <t>Cypress Semiconductor Corporation</t>
  </si>
  <si>
    <t>04/04/2023 at 02:07:20 UTC</t>
  </si>
  <si>
    <t>Ikan</t>
  </si>
  <si>
    <t>Prometric</t>
  </si>
  <si>
    <t>Provation Medical</t>
  </si>
  <si>
    <t>10/11/2022 at 17:36:18 UTC</t>
  </si>
  <si>
    <t>Linric Company</t>
  </si>
  <si>
    <t>08/28/2024 at 17:43:14 UTC</t>
  </si>
  <si>
    <t>Primera</t>
  </si>
  <si>
    <t>02/16/2024 at 17:19:57 UTC</t>
  </si>
  <si>
    <t>Dan Risacher</t>
  </si>
  <si>
    <t>07/10/2024 at 19:17:21 UTC</t>
  </si>
  <si>
    <t>Brainwy Software Ltda</t>
  </si>
  <si>
    <t>Pyramid Analytics</t>
  </si>
  <si>
    <t>02/22/2024 at 02:56:05 UTC</t>
  </si>
  <si>
    <t>Python Poetry</t>
  </si>
  <si>
    <t>08/29/2024 at 15:54:38 UTC</t>
  </si>
  <si>
    <t>12/09/2024 at 18:20:04 UTC</t>
  </si>
  <si>
    <t>09/26/2022 at 02:04:16 UTC</t>
  </si>
  <si>
    <t>10/10/2022 at 17:00:11 UTC</t>
  </si>
  <si>
    <t>Ideagen</t>
  </si>
  <si>
    <t>The Qt Company</t>
  </si>
  <si>
    <t>Intellikey</t>
  </si>
  <si>
    <t>07/01/2024 at 19:39:32 UTC</t>
  </si>
  <si>
    <t>11/20/2024 at 14:40:24 UTC</t>
  </si>
  <si>
    <t>04/01/2024 at 19:29:55 UTC</t>
  </si>
  <si>
    <t>10/04/2024 at 20:50:54 UTC</t>
  </si>
  <si>
    <t>10/14/2024 at 01:23:22 UTC</t>
  </si>
  <si>
    <t>10/16/2024 at 13:10:12 UTC</t>
  </si>
  <si>
    <t>Quha</t>
  </si>
  <si>
    <t>01/30/2024 at 01:10:46 UTC</t>
  </si>
  <si>
    <t>01/30/2024 at 01:10:53 UTC</t>
  </si>
  <si>
    <t>Intuit</t>
  </si>
  <si>
    <t>10/12/2020 at 12:33:00 UTC</t>
  </si>
  <si>
    <t>PMEase</t>
  </si>
  <si>
    <t>10/20/2022 at 15:34:08 UTC</t>
  </si>
  <si>
    <t>Helena Laboratories</t>
  </si>
  <si>
    <t>mesh2surface</t>
  </si>
  <si>
    <t>Quobyte</t>
  </si>
  <si>
    <t>Qwizdom</t>
  </si>
  <si>
    <t>04/02/2024 at 02:04:57 UTC</t>
  </si>
  <si>
    <t>REED Instruments</t>
  </si>
  <si>
    <t>10/18/2024 at 17:34:22 UTC</t>
  </si>
  <si>
    <t>RackTables</t>
  </si>
  <si>
    <t>12/14/2023 at 13:36:50 UTC</t>
  </si>
  <si>
    <t>Radacad</t>
  </si>
  <si>
    <t>01/30/2024 at 01:11:03 UTC</t>
  </si>
  <si>
    <t>Medixant</t>
  </si>
  <si>
    <t>11/25/2024 at 18:01:49 UTC</t>
  </si>
  <si>
    <t>EIZO</t>
  </si>
  <si>
    <t>12/07/2022 at 20:57:28 UTC</t>
  </si>
  <si>
    <t>Ranorex</t>
  </si>
  <si>
    <t>Razer</t>
  </si>
  <si>
    <t>04/04/2024 at 03:11:06 UTC</t>
  </si>
  <si>
    <t>Visual Veggies</t>
  </si>
  <si>
    <t>10/29/2024 at 19:18:24 UTC</t>
  </si>
  <si>
    <t>Reactive Extensions</t>
  </si>
  <si>
    <t>02/16/2024 at 17:20:02 UTC</t>
  </si>
  <si>
    <t>University of British Columbia</t>
  </si>
  <si>
    <t>04/11/2023 at 03:24:25 UTC</t>
  </si>
  <si>
    <t>Red Giant</t>
  </si>
  <si>
    <t>11/07/2024 at 19:09:19 UTC</t>
  </si>
  <si>
    <t>01/11/2024 at 17:00:39 UTC</t>
  </si>
  <si>
    <t>07/16/2024 at 18:26:17 UTC</t>
  </si>
  <si>
    <t>RED Digital Cinema</t>
  </si>
  <si>
    <t>03/07/2024 at 02:31:34 UTC</t>
  </si>
  <si>
    <t>10/04/2023 at 14:58:27 UTC</t>
  </si>
  <si>
    <t>Dave Reid</t>
  </si>
  <si>
    <t>09/23/2024 at 17:31:23 UTC</t>
  </si>
  <si>
    <t>Redis</t>
  </si>
  <si>
    <t>02/22/2024 at 03:38:37 UTC</t>
  </si>
  <si>
    <t>ProQuest LLC</t>
  </si>
  <si>
    <t>reMarkable</t>
  </si>
  <si>
    <t>03/16/2023 at 14:50:51 UTC</t>
  </si>
  <si>
    <t>Vanderbilt University</t>
  </si>
  <si>
    <t>01/30/2024 at 00:10:01 UTC</t>
  </si>
  <si>
    <t>MD Clarity</t>
  </si>
  <si>
    <t>RFCode</t>
  </si>
  <si>
    <t>03/07/2024 at 02:31:55 UTC</t>
  </si>
  <si>
    <t>InLogic</t>
  </si>
  <si>
    <t>01/18/2024 at 02:51:48 UTC</t>
  </si>
  <si>
    <t>Creation Engine</t>
  </si>
  <si>
    <t>RightITnow</t>
  </si>
  <si>
    <t>01/18/2024 at 02:52:12 UTC</t>
  </si>
  <si>
    <t>11/29/2024 at 20:47:27 UTC</t>
  </si>
  <si>
    <t>Universal Logic</t>
  </si>
  <si>
    <t>09/29/2023 at 17:30:40 UTC</t>
  </si>
  <si>
    <t>Rocky Mountain Cancer Data Systems</t>
  </si>
  <si>
    <t>12/02/2024 at 22:22:18 UTC</t>
  </si>
  <si>
    <t>Rotronic Measurement Solutions</t>
  </si>
  <si>
    <t>Datastead</t>
  </si>
  <si>
    <t>03/07/2024 at 02:32:17 UTC</t>
  </si>
  <si>
    <t>SA International (SAi)</t>
  </si>
  <si>
    <t>10/14/2024 at 01:23:16 UTC</t>
  </si>
  <si>
    <t>11/26/2022 at 00:53:35 UTC</t>
  </si>
  <si>
    <t>12/12/2022 at 03:47:25 UTC</t>
  </si>
  <si>
    <t>Sato</t>
  </si>
  <si>
    <t>Savance Heath</t>
  </si>
  <si>
    <t>Saxonica</t>
  </si>
  <si>
    <t>10/14/2024 at 01:23:00 UTC</t>
  </si>
  <si>
    <t>12/29/2023 at 15:28:41 UTC</t>
  </si>
  <si>
    <t>NextEngine</t>
  </si>
  <si>
    <t>07/15/2024 at 19:06:09 UTC</t>
  </si>
  <si>
    <t>ScheduleReader</t>
  </si>
  <si>
    <t>ScienceLogic</t>
  </si>
  <si>
    <t>08/15/2024 at 17:13:04 UTC</t>
  </si>
  <si>
    <t>sciNote LLC</t>
  </si>
  <si>
    <t>05/01/2023 at 02:06:28 UTC</t>
  </si>
  <si>
    <t>DataMann</t>
  </si>
  <si>
    <t>ScriptRunner</t>
  </si>
  <si>
    <t>11/25/2024 at 18:02:57 UTC</t>
  </si>
  <si>
    <t>Security Compass</t>
  </si>
  <si>
    <t>11/29/2023 at 14:39:02 UTC</t>
  </si>
  <si>
    <t>09/27/2023 at 03:32:51 UTC</t>
  </si>
  <si>
    <t>12/07/2022 at 20:57:27 UTC</t>
  </si>
  <si>
    <t>SEMOSS</t>
  </si>
  <si>
    <t>11/29/2024 at 20:47:28 UTC</t>
  </si>
  <si>
    <t>04/11/2023 at 02:19:10 UTC</t>
  </si>
  <si>
    <t>Bioseb</t>
  </si>
  <si>
    <t>02/15/2024 at 20:11:09 UTC</t>
  </si>
  <si>
    <t>11/29/2023 at 19:30:02 UTC</t>
  </si>
  <si>
    <t>EMDAT, Inc</t>
  </si>
  <si>
    <t>10/30/2024 at 15:24:49 UTC</t>
  </si>
  <si>
    <t>10/30/2024 at 15:24:50 UTC</t>
  </si>
  <si>
    <t>Melytech, LLC</t>
  </si>
  <si>
    <t>02/23/2024 at 02:53:51 UTC</t>
  </si>
  <si>
    <t>Sirona Dental Systems</t>
  </si>
  <si>
    <t>Topaz Labs, LLC</t>
  </si>
  <si>
    <t>11/26/2024 at 15:08:12 UTC</t>
  </si>
  <si>
    <t>Simplify3D</t>
  </si>
  <si>
    <t>08/28/2024 at 17:43:11 UTC</t>
  </si>
  <si>
    <t>Singlewire Software</t>
  </si>
  <si>
    <t>09/23/2024 at 17:08:28 UTC</t>
  </si>
  <si>
    <t>Liebert/Vertiv SiteScan Services</t>
  </si>
  <si>
    <t>Trimble</t>
  </si>
  <si>
    <t>08/27/2024 at 02:03:23 UTC</t>
  </si>
  <si>
    <t>REMS Software</t>
  </si>
  <si>
    <t>12/12/2022 at 16:50:55 UTC</t>
  </si>
  <si>
    <t>Slack Technologies, Inc</t>
  </si>
  <si>
    <t>01/18/2024 at 02:53:08 UTC</t>
  </si>
  <si>
    <t>Slate</t>
  </si>
  <si>
    <t>Advanced Brain Monitoring</t>
  </si>
  <si>
    <t>01/24/2024 at 03:40:13 UTC</t>
  </si>
  <si>
    <t>Slido</t>
  </si>
  <si>
    <t>GN Resound</t>
  </si>
  <si>
    <t>Foldda</t>
  </si>
  <si>
    <t>SmartSync Software</t>
  </si>
  <si>
    <t>10/31/2024 at 16:35:39 UTC</t>
  </si>
  <si>
    <t>Dotmatics</t>
  </si>
  <si>
    <t>11/29/2024 at 20:47:46 UTC</t>
  </si>
  <si>
    <t>SoftPerfect</t>
  </si>
  <si>
    <t>SoftTech Health</t>
  </si>
  <si>
    <t>Solar Tech</t>
  </si>
  <si>
    <t>06/06/2024 at 16:17:46 UTC</t>
  </si>
  <si>
    <t>02/15/2024 at 23:04:14 UTC</t>
  </si>
  <si>
    <t>02/15/2024 at 20:10:58 UTC</t>
  </si>
  <si>
    <t>02/15/2024 at 23:04:32 UTC</t>
  </si>
  <si>
    <t>02/16/2024 at 17:19:41 UTC</t>
  </si>
  <si>
    <t>10/16/2024 at 21:30:06 UTC</t>
  </si>
  <si>
    <t>02/15/2024 at 20:11:00 UTC</t>
  </si>
  <si>
    <t>12/22/2022 at 20:25:58 UTC</t>
  </si>
  <si>
    <t>Mersive Technologies, Inc</t>
  </si>
  <si>
    <t>01/05/2023 at 19:54:14 UTC</t>
  </si>
  <si>
    <t>SonoSim</t>
  </si>
  <si>
    <t>FUJIFILM SonoSite, Inc</t>
  </si>
  <si>
    <t>01/30/2024 at 01:11:28 UTC</t>
  </si>
  <si>
    <t>Sorenson Communications</t>
  </si>
  <si>
    <t>PowerMapper</t>
  </si>
  <si>
    <t>04/04/2024 at 03:11:08 UTC</t>
  </si>
  <si>
    <t>SOTI</t>
  </si>
  <si>
    <t>12/01/2023 at 14:56:41 UTC</t>
  </si>
  <si>
    <t>03/21/2023 at 14:44:44 UTC</t>
  </si>
  <si>
    <t>CCleaner</t>
  </si>
  <si>
    <t>01/30/2024 at 00:10:08 UTC</t>
  </si>
  <si>
    <t>Speechvive</t>
  </si>
  <si>
    <t>06/11/2024 at 16:45:42 UTC</t>
  </si>
  <si>
    <t>Spee-Dee Delivery</t>
  </si>
  <si>
    <t>01/03/2024 at 04:39:46 UTC</t>
  </si>
  <si>
    <t>11/03/2023 at 03:22:48 UTC</t>
  </si>
  <si>
    <t>11/06/2024 at 02:07:51 UTC</t>
  </si>
  <si>
    <t>03/27/2023 at 02:34:37 UTC</t>
  </si>
  <si>
    <t>Datacolor</t>
  </si>
  <si>
    <t>Sqitchers</t>
  </si>
  <si>
    <t>12/06/2022 at 02:46:38 UTC</t>
  </si>
  <si>
    <t>06/10/2024 at 15:39:12 UTC</t>
  </si>
  <si>
    <t>Aleksey Kochetov</t>
  </si>
  <si>
    <t>09/16/2022 at 19:27:13 UTC</t>
  </si>
  <si>
    <t>SquaredUp</t>
  </si>
  <si>
    <t>Circle Systems</t>
  </si>
  <si>
    <t>04/28/2023 at 18:46:18 UTC</t>
  </si>
  <si>
    <t>11/25/2022 at 21:06:07 UTC</t>
  </si>
  <si>
    <t>11/26/2022 at 01:18:24 UTC</t>
  </si>
  <si>
    <t>Steady Mouse LLC</t>
  </si>
  <si>
    <t>04/16/2024 at 15:23:36 UTC</t>
  </si>
  <si>
    <t>SteelSeries</t>
  </si>
  <si>
    <t>Stellar</t>
  </si>
  <si>
    <t>Stemcell Technologies Inc (Stemsoft)</t>
  </si>
  <si>
    <t>03/01/2023 at 18:53:00 UTC</t>
  </si>
  <si>
    <t>MBF Bioscience</t>
  </si>
  <si>
    <t>ColDesi Incorporated</t>
  </si>
  <si>
    <t>10/30/2024 at 15:24:57 UTC</t>
  </si>
  <si>
    <t>02/08/2024 at 15:42:04 UTC</t>
  </si>
  <si>
    <t>Crucial Learning</t>
  </si>
  <si>
    <t>12/10/2024 at 18:08:27 UTC</t>
  </si>
  <si>
    <t>12/13/2024 at 19:36:20 UTC</t>
  </si>
  <si>
    <t>12/26/2023 at 22:06:17 UTC</t>
  </si>
  <si>
    <t>12/12/2023 at 12:32:48 UTC</t>
  </si>
  <si>
    <t>Visual Studio</t>
  </si>
  <si>
    <t>PowerShell Gallery</t>
  </si>
  <si>
    <t>SSI Tools</t>
  </si>
  <si>
    <t>11/06/2023 at 20:27:09 UTC</t>
  </si>
  <si>
    <t>09/26/2022 at 02:04:17 UTC</t>
  </si>
  <si>
    <t>URUWorks</t>
  </si>
  <si>
    <t>Hygiena</t>
  </si>
  <si>
    <t>09/21/2022 at 02:03:41 UTC</t>
  </si>
  <si>
    <t>symplr</t>
  </si>
  <si>
    <t>05/22/2024 at 16:16:03 UTC</t>
  </si>
  <si>
    <t>06/07/2024 at 18:33:16 UTC</t>
  </si>
  <si>
    <t>AudioCodes</t>
  </si>
  <si>
    <t>Swisslog</t>
  </si>
  <si>
    <t>07/15/2024 at 19:19:53 UTC</t>
  </si>
  <si>
    <t>Galaxy Control Systems</t>
  </si>
  <si>
    <t>Splinterware Software Solutions</t>
  </si>
  <si>
    <t>11/17/2022 at 01:39:46 UTC</t>
  </si>
  <si>
    <t>10/25/2024 at 13:32:48 UTC</t>
  </si>
  <si>
    <t>Kapacity Business Analytics</t>
  </si>
  <si>
    <t>10/19/2023 at 15:49:51 UTC</t>
  </si>
  <si>
    <t>Black Ice Software, LLC</t>
  </si>
  <si>
    <t>Talend</t>
  </si>
  <si>
    <t>12/21/2023 at 21:23:27 UTC</t>
  </si>
  <si>
    <t>Tango</t>
  </si>
  <si>
    <t>07/12/2024 at 02:56:01 UTC</t>
  </si>
  <si>
    <t>Getinge Group</t>
  </si>
  <si>
    <t>04/28/2023 at 18:46:20 UTC</t>
  </si>
  <si>
    <t>Steema</t>
  </si>
  <si>
    <t>05/08/2024 at 13:48:03 UTC</t>
  </si>
  <si>
    <t>Cooper-Atkins</t>
  </si>
  <si>
    <t>03/13/2024 at 17:22:19 UTC</t>
  </si>
  <si>
    <t>Gruntwork</t>
  </si>
  <si>
    <t>03/22/2024 at 00:45:27 UTC</t>
  </si>
  <si>
    <t>SmileOnMyMac, LLC dba TextExpander</t>
  </si>
  <si>
    <t>11/08/2024 at 02:03:18 UTC</t>
  </si>
  <si>
    <t>Improbable</t>
  </si>
  <si>
    <t>10/26/2023 at 16:23:57 UTC</t>
  </si>
  <si>
    <t>Thymeleaf</t>
  </si>
  <si>
    <t>11/25/2024 at 18:20:32 UTC</t>
  </si>
  <si>
    <t>06/25/2024 at 15:28:00 UTC</t>
  </si>
  <si>
    <t>TiddlyWiki</t>
  </si>
  <si>
    <t>11/17/2023 at 03:57:56 UTC</t>
  </si>
  <si>
    <t>Tidepool Project</t>
  </si>
  <si>
    <t>Tiger Connect</t>
  </si>
  <si>
    <t>TCP Software</t>
  </si>
  <si>
    <t>TIMS Medical</t>
  </si>
  <si>
    <t>06/26/2024 at 14:49:03 UTC</t>
  </si>
  <si>
    <t>TMS Software</t>
  </si>
  <si>
    <t>TomTom</t>
  </si>
  <si>
    <t>11/16/2023 at 17:25:28 UTC</t>
  </si>
  <si>
    <t>TORO</t>
  </si>
  <si>
    <t>03/17/2023 at 19:03:48 UTC</t>
  </si>
  <si>
    <t>Priority 5 Holdings, INC</t>
  </si>
  <si>
    <t>05/24/2024 at 16:49:05 UTC</t>
  </si>
  <si>
    <t>Monarch Instrument</t>
  </si>
  <si>
    <t>02/07/2024 at 18:15:21 UTC</t>
  </si>
  <si>
    <t>American College of Radiology</t>
  </si>
  <si>
    <t>01/11/2024 at 15:55:37 UTC</t>
  </si>
  <si>
    <t>TeleTracking</t>
  </si>
  <si>
    <t>11/26/2022 at 00:53:36 UTC</t>
  </si>
  <si>
    <t>09/21/2022 at 02:04:14 UTC</t>
  </si>
  <si>
    <t>TreeScan</t>
  </si>
  <si>
    <t>07/19/2024 at 02:54:54 UTC</t>
  </si>
  <si>
    <t>DINO-Software</t>
  </si>
  <si>
    <t>11/29/2024 at 20:47:34 UTC</t>
  </si>
  <si>
    <t>Tripleplay Service LTD</t>
  </si>
  <si>
    <t>Unitron</t>
  </si>
  <si>
    <t>11/16/2023 at 14:09:57 UTC</t>
  </si>
  <si>
    <t>Trustwave</t>
  </si>
  <si>
    <t>ProcessOne</t>
  </si>
  <si>
    <t>Turbot</t>
  </si>
  <si>
    <t>11/06/2023 at 20:27:10 UTC</t>
  </si>
  <si>
    <t>Ablebits</t>
  </si>
  <si>
    <t>01/06/2023 at 00:34:13 UTC</t>
  </si>
  <si>
    <t>01/20/2023 at 19:57:13 UTC</t>
  </si>
  <si>
    <t>11/06/2023 at 20:27:19 UTC</t>
  </si>
  <si>
    <t>03/26/2024 at 16:11:01 UTC</t>
  </si>
  <si>
    <t>Unity Container</t>
  </si>
  <si>
    <t>09/01/2022 at 20:19:21 UTC</t>
  </si>
  <si>
    <t>Yorktel</t>
  </si>
  <si>
    <t>04/04/2024 at 03:11:21 UTC</t>
  </si>
  <si>
    <t>12/21/2023 at 12:35:21 UTC</t>
  </si>
  <si>
    <t>Empty Loop</t>
  </si>
  <si>
    <t>USB Detective</t>
  </si>
  <si>
    <t>Variphy</t>
  </si>
  <si>
    <t>Forest Medical LLC</t>
  </si>
  <si>
    <t>MAGIX</t>
  </si>
  <si>
    <t>07/19/2024 at 16:33:55 UTC</t>
  </si>
  <si>
    <t>05/30/2024 at 02:59:19 UTC</t>
  </si>
  <si>
    <t>V5 Systems</t>
  </si>
  <si>
    <t>05/10/2023 at 14:11:54 UTC</t>
  </si>
  <si>
    <t>Verint</t>
  </si>
  <si>
    <t>10/16/2024 at 21:32:09 UTC</t>
  </si>
  <si>
    <t>06/03/2024 at 19:06:03 UTC</t>
  </si>
  <si>
    <t>10/07/2024 at 22:23:16 UTC</t>
  </si>
  <si>
    <t>04/24/2024 at 18:28:39 UTC</t>
  </si>
  <si>
    <t>07/01/2024 at 19:39:27 UTC</t>
  </si>
  <si>
    <t>VA OIT Product Development</t>
  </si>
  <si>
    <t>vidyo</t>
  </si>
  <si>
    <t>Vaisala</t>
  </si>
  <si>
    <t>01/25/2024 at 01:34:46 UTC</t>
  </si>
  <si>
    <t>VIM Community</t>
  </si>
  <si>
    <t>01/16/2024 at 21:05:41 UTC</t>
  </si>
  <si>
    <t>John Snow Labs</t>
  </si>
  <si>
    <t>12/19/2023 at 21:24:34 UTC</t>
  </si>
  <si>
    <t>Dynastethics</t>
  </si>
  <si>
    <t>06/18/2024 at 16:24:57 UTC</t>
  </si>
  <si>
    <t>Vitejs</t>
  </si>
  <si>
    <t>11/08/2024 at 02:03:17 UTC</t>
  </si>
  <si>
    <t>11/06/2023 at 20:27:14 UTC</t>
  </si>
  <si>
    <t>08/27/2024 at 02:02:46 UTC</t>
  </si>
  <si>
    <t>01/25/2024 at 01:35:08 UTC</t>
  </si>
  <si>
    <t>Volk Optical</t>
  </si>
  <si>
    <t>06/18/2024 at 21:37:22 UTC</t>
  </si>
  <si>
    <t>Voronoi Health Analytics</t>
  </si>
  <si>
    <t>08/27/2024 at 02:02:57 UTC</t>
  </si>
  <si>
    <t>12/20/2024 at 22:31:50 UTC</t>
  </si>
  <si>
    <t>Vyopta</t>
  </si>
  <si>
    <t>04/12/2024 at 16:24:17 UTC</t>
  </si>
  <si>
    <t>Watchfire</t>
  </si>
  <si>
    <t>WebAim</t>
  </si>
  <si>
    <t>12/12/2023 at 12:32:49 UTC</t>
  </si>
  <si>
    <t>03/17/2023 at 19:30:52 UTC</t>
  </si>
  <si>
    <t>10/31/2023 at 15:57:02 UTC</t>
  </si>
  <si>
    <t>Wild Divine</t>
  </si>
  <si>
    <t>01/05/2023 at 01:51:03 UTC</t>
  </si>
  <si>
    <t>10/30/2024 at 15:25:00 UTC</t>
  </si>
  <si>
    <t>10/16/2024 at 21:31:26 UTC</t>
  </si>
  <si>
    <t>WinSCP</t>
  </si>
  <si>
    <t>03/11/2024 at 14:14:25 UTC</t>
  </si>
  <si>
    <t>United States Department of Defense</t>
  </si>
  <si>
    <t>06/03/2024 at 19:06:04 UTC</t>
  </si>
  <si>
    <t>Quillsoft</t>
  </si>
  <si>
    <t>12/09/2022 at 20:11:25 UTC</t>
  </si>
  <si>
    <t>01/11/2024 at 03:03:45 UTC</t>
  </si>
  <si>
    <t>06/18/2024 at 16:24:58 UTC</t>
  </si>
  <si>
    <t>11/03/2023 at 03:22:45 UTC</t>
  </si>
  <si>
    <t>11/06/2023 at 20:27:08 UTC</t>
  </si>
  <si>
    <t>09/27/2023 at 03:32:54 UTC</t>
  </si>
  <si>
    <t>Xappex</t>
  </si>
  <si>
    <t>Neuroinformatics Research Group (NRG)</t>
  </si>
  <si>
    <t>06/03/2024 at 19:06:05 UTC</t>
  </si>
  <si>
    <t>11/29/2024 at 20:47:36 UTC</t>
  </si>
  <si>
    <t>Xsplit</t>
  </si>
  <si>
    <t>yubico</t>
  </si>
  <si>
    <t>Zappysys</t>
  </si>
  <si>
    <t>11/27/2024 at 00:44:27 UTC</t>
  </si>
  <si>
    <t>12/06/2022 at 02:46:54 UTC</t>
  </si>
  <si>
    <t>01/25/2024 at 01:35:28 UTC</t>
  </si>
  <si>
    <t>05/20/2024 at 17:25:07 UTC</t>
  </si>
  <si>
    <t>ZenHub</t>
  </si>
  <si>
    <t>Roy Rosenzweig Center for History and New Media</t>
  </si>
  <si>
    <t>Open Mainframe Project</t>
  </si>
  <si>
    <t>09/12/2024 at 16:58:29 UTC</t>
  </si>
  <si>
    <t>Fabio Martin</t>
  </si>
  <si>
    <t>08/06/2019 at 12:30:37 UTC</t>
  </si>
  <si>
    <t>Extraxi</t>
  </si>
  <si>
    <t>04/13/2020 at 08:14:10 UTC</t>
  </si>
  <si>
    <t>Timothy Wall</t>
  </si>
  <si>
    <t>08/07/2019 at 08:03:44 UTC</t>
  </si>
  <si>
    <t>06/05/2020 at 00:37:01 UTC</t>
  </si>
  <si>
    <t>05/26/2020 at 10:24:33 UTC</t>
  </si>
  <si>
    <t>Adaware</t>
  </si>
  <si>
    <t>03/16/2023 at 03:46:31 UTC</t>
  </si>
  <si>
    <t>Adesso</t>
  </si>
  <si>
    <t>07/25/2023 at 14:00:17 UTC</t>
  </si>
  <si>
    <t>Adlib</t>
  </si>
  <si>
    <t>06/18/2019 at 14:24:55 UTC</t>
  </si>
  <si>
    <t>09/13/2019 at 09:46:42 UTC</t>
  </si>
  <si>
    <t>10/18/2024 at 17:34:26 UTC</t>
  </si>
  <si>
    <t>05/08/2019 at 16:14:06 UTC</t>
  </si>
  <si>
    <t>ProDAD</t>
  </si>
  <si>
    <t>12/07/2021 at 03:04:06 UTC</t>
  </si>
  <si>
    <t>AgilePoint</t>
  </si>
  <si>
    <t>05/24/2024 at 16:49:06 UTC</t>
  </si>
  <si>
    <t>Agisoft</t>
  </si>
  <si>
    <t>07/15/2024 at 19:06:05 UTC</t>
  </si>
  <si>
    <t>netAlly</t>
  </si>
  <si>
    <t>Alertus Unified Facility Notification</t>
  </si>
  <si>
    <t>Alloy Software</t>
  </si>
  <si>
    <t>02/16/2024 at 17:19:48 UTC</t>
  </si>
  <si>
    <t>Actual Metrics</t>
  </si>
  <si>
    <t>HealthStream</t>
  </si>
  <si>
    <t>Antoine Potten</t>
  </si>
  <si>
    <t>Anydesk</t>
  </si>
  <si>
    <t>02/02/2024 at 03:07:36 UTC</t>
  </si>
  <si>
    <t>03/20/2020 at 12:36:10 UTC</t>
  </si>
  <si>
    <t>10/09/2019 at 08:00:16 UTC</t>
  </si>
  <si>
    <t>Bungalow Software</t>
  </si>
  <si>
    <t>07/31/2020 at 11:13:40 UTC</t>
  </si>
  <si>
    <t>09/04/2020 at 09:19:14 UTC</t>
  </si>
  <si>
    <t>A Must in Every Office BV</t>
  </si>
  <si>
    <t>AP Style Book</t>
  </si>
  <si>
    <t>ColorID, LLC</t>
  </si>
  <si>
    <t>08/30/2024 at 16:19:30 UTC</t>
  </si>
  <si>
    <t>Assima</t>
  </si>
  <si>
    <t>05/19/2020 at 12:45:04 UTC</t>
  </si>
  <si>
    <t>Attainia, Inc</t>
  </si>
  <si>
    <t>IDEC</t>
  </si>
  <si>
    <t>AVG Technologies</t>
  </si>
  <si>
    <t>Bambu Labs</t>
  </si>
  <si>
    <t>12/13/2024 at 19:36:26 UTC</t>
  </si>
  <si>
    <t>Belimed</t>
  </si>
  <si>
    <t>03/14/2024 at 16:03:58 UTC</t>
  </si>
  <si>
    <t>BizFlow Corporation</t>
  </si>
  <si>
    <t>APPLIED MISSING DATA</t>
  </si>
  <si>
    <t>06/27/2024 at 17:09:29 UTC</t>
  </si>
  <si>
    <t>04/28/2023 at 18:46:21 UTC</t>
  </si>
  <si>
    <t>BrainMaster Technologies</t>
  </si>
  <si>
    <t>06/28/2019 at 13:56:16 UTC</t>
  </si>
  <si>
    <t>Rogue Research</t>
  </si>
  <si>
    <t>03/27/2023 at 15:43:19 UTC</t>
  </si>
  <si>
    <t>Email-Unlimited</t>
  </si>
  <si>
    <t>11/27/2019 at 16:17:46 UTC</t>
  </si>
  <si>
    <t>Burlodge, USA</t>
  </si>
  <si>
    <t>08/10/2022 at 19:38:22 UTC</t>
  </si>
  <si>
    <t>07/09/2019 at 07:53:35 UTC</t>
  </si>
  <si>
    <t>Calibre</t>
  </si>
  <si>
    <t>Journey Forward</t>
  </si>
  <si>
    <t>Vorum</t>
  </si>
  <si>
    <t>04/13/2022 at 02:22:06 UTC</t>
  </si>
  <si>
    <t>08/17/2021 at 15:34:14 UTC</t>
  </si>
  <si>
    <t>CodeHaus</t>
  </si>
  <si>
    <t>02/16/2024 at 17:19:51 UTC</t>
  </si>
  <si>
    <t>University of New Mexico Center on Alcoholism, Substance Abuse, and Addictions</t>
  </si>
  <si>
    <t>04/08/2020 at 12:25:01 UTC</t>
  </si>
  <si>
    <t>DataChem Software</t>
  </si>
  <si>
    <t>08/13/2020 at 12:01:55 UTC</t>
  </si>
  <si>
    <t>Page Modified</t>
  </si>
  <si>
    <t>01/25/2021 at 10:48:28 UTC</t>
  </si>
  <si>
    <t>Chemstations</t>
  </si>
  <si>
    <t>08/13/2019 at 12:32:11 UTC</t>
  </si>
  <si>
    <t>05/16/2019 at 11:24:04 UTC</t>
  </si>
  <si>
    <t>10/29/2019 at 08:56:29 UTC</t>
  </si>
  <si>
    <t>02/02/2024 at 03:13:36 UTC</t>
  </si>
  <si>
    <t>11/16/2018 at 09:35:58 UTC</t>
  </si>
  <si>
    <t>Raize</t>
  </si>
  <si>
    <t>Jeremy Ashkenas</t>
  </si>
  <si>
    <t>06/27/2024 at 17:09:27 UTC</t>
  </si>
  <si>
    <t>Comm One LLC</t>
  </si>
  <si>
    <t>06/04/2021 at 03:51:34 UTC</t>
  </si>
  <si>
    <t>03/13/2023 at 16:47:50 UTC</t>
  </si>
  <si>
    <t>OMG</t>
  </si>
  <si>
    <t>Brilogy Corporation</t>
  </si>
  <si>
    <t>Canneverbe Limited</t>
  </si>
  <si>
    <t>08/12/2019 at 13:31:09 UTC</t>
  </si>
  <si>
    <t>Sam Rueby</t>
  </si>
  <si>
    <t>EPA</t>
  </si>
  <si>
    <t>09/01/2020 at 10:32:34 UTC</t>
  </si>
  <si>
    <t>07/01/2024 at 14:13:51 UTC</t>
  </si>
  <si>
    <t>04/05/2023 at 00:57:31 UTC</t>
  </si>
  <si>
    <t>Connectwise</t>
  </si>
  <si>
    <t>10/19/2022 at 17:29:34 UTC</t>
  </si>
  <si>
    <t>CPUID Developers</t>
  </si>
  <si>
    <t>Milan Broz</t>
  </si>
  <si>
    <t>11/17/2023 at 03:57:57 UTC</t>
  </si>
  <si>
    <t>American Messaging</t>
  </si>
  <si>
    <t>07/07/2020 at 13:07:19 UTC</t>
  </si>
  <si>
    <t>03/19/2024 at 00:47:15 UTC</t>
  </si>
  <si>
    <t>CyberCare Health Network, LLC</t>
  </si>
  <si>
    <t>Disc Soft Ltd</t>
  </si>
  <si>
    <t>Tetronik</t>
  </si>
  <si>
    <t>sqlitebrowser</t>
  </si>
  <si>
    <t>Digital Detective</t>
  </si>
  <si>
    <t>08/05/2020 at 16:37:02 UTC</t>
  </si>
  <si>
    <t>11/20/2024 at 14:40:27 UTC</t>
  </si>
  <si>
    <t>Avast</t>
  </si>
  <si>
    <t>02/13/2020 at 11:40:59 UTC</t>
  </si>
  <si>
    <t>Validity</t>
  </si>
  <si>
    <t>DESI Telephone Labels</t>
  </si>
  <si>
    <t>02/07/2024 at 18:15:05 UTC</t>
  </si>
  <si>
    <t>01/20/2023 at 19:57:20 UTC</t>
  </si>
  <si>
    <t>02/06/2019 at 08:22:12 UTC</t>
  </si>
  <si>
    <t>Duka Istvan</t>
  </si>
  <si>
    <t>DigitalOptometrics</t>
  </si>
  <si>
    <t>09/19/2023 at 14:52:21 UTC</t>
  </si>
  <si>
    <t>NetIQ</t>
  </si>
  <si>
    <t>05/07/2020 at 15:41:06 UTC</t>
  </si>
  <si>
    <t>02/12/2024 at 20:36:22 UTC</t>
  </si>
  <si>
    <t>02/28/2024 at 14:26:20 UTC</t>
  </si>
  <si>
    <t>Best Wave</t>
  </si>
  <si>
    <t>09/30/2020 at 12:11:46 UTC</t>
  </si>
  <si>
    <t>04/22/2024 at 17:37:34 UTC</t>
  </si>
  <si>
    <t>07/24/2024 at 04:25:11 UTC</t>
  </si>
  <si>
    <t>08/09/2022 at 16:09:51 UTC</t>
  </si>
  <si>
    <t>Mobius Medical</t>
  </si>
  <si>
    <t>06/27/2019 at 12:47:44 UTC</t>
  </si>
  <si>
    <t>04/23/2021 at 21:09:52 UTC</t>
  </si>
  <si>
    <t>Drive Easy</t>
  </si>
  <si>
    <t>10/21/2019 at 08:18:56 UTC</t>
  </si>
  <si>
    <t>07/24/2024 at 04:25:12 UTC</t>
  </si>
  <si>
    <t>Allen Technologies</t>
  </si>
  <si>
    <t>01/22/2021 at 08:11:45 UTC</t>
  </si>
  <si>
    <t>11/29/2024 at 21:12:08 UTC</t>
  </si>
  <si>
    <t>11/27/2024 at 00:54:38 UTC</t>
  </si>
  <si>
    <t>Emka Technologies</t>
  </si>
  <si>
    <t>01/17/2019 at 09:29:34 UTC</t>
  </si>
  <si>
    <t>eG Innovations</t>
  </si>
  <si>
    <t>07/25/2024 at 14:43:05 UTC</t>
  </si>
  <si>
    <t>ASTM</t>
  </si>
  <si>
    <t>04/23/2020 at 16:11:06 UTC</t>
  </si>
  <si>
    <t>02/03/2021 at 13:10:02 UTC</t>
  </si>
  <si>
    <t>Video Copilot</t>
  </si>
  <si>
    <t>03/12/2019 at 19:53:17 UTC</t>
  </si>
  <si>
    <t>Wave Systems</t>
  </si>
  <si>
    <t>01/25/2023 at 03:17:44 UTC</t>
  </si>
  <si>
    <t>Premier Literacy</t>
  </si>
  <si>
    <t>BISIL (Business Integration Systems (India))</t>
  </si>
  <si>
    <t>09/01/2022 at 20:19:33 UTC</t>
  </si>
  <si>
    <t>12/09/2022 at 20:10:11 UTC</t>
  </si>
  <si>
    <t>ERP Info</t>
  </si>
  <si>
    <t>04/10/2024 at 17:17:06 UTC</t>
  </si>
  <si>
    <t>Entrust Corporation</t>
  </si>
  <si>
    <t>09/11/2024 at 17:28:16 UTC</t>
  </si>
  <si>
    <t>07/23/2020 at 10:35:46 UTC</t>
  </si>
  <si>
    <t>06/11/2024 at 16:45:43 UTC</t>
  </si>
  <si>
    <t>Atif Aziz</t>
  </si>
  <si>
    <t>04/16/2020 at 14:49:33 UTC</t>
  </si>
  <si>
    <t>NirSoft</t>
  </si>
  <si>
    <t>EtherPadOrg</t>
  </si>
  <si>
    <t>09/13/2022 at 18:11:36 UTC</t>
  </si>
  <si>
    <t>Action Software</t>
  </si>
  <si>
    <t>02/22/2024 at 02:55:55 UTC</t>
  </si>
  <si>
    <t>12/19/2018 at 07:26:20 UTC</t>
  </si>
  <si>
    <t>10/16/2024 at 21:30:51 UTC</t>
  </si>
  <si>
    <t>Apex Custom Solutions</t>
  </si>
  <si>
    <t>04/16/2019 at 08:02:54 UTC</t>
  </si>
  <si>
    <t>01/17/2024 at 03:51:59 UTC</t>
  </si>
  <si>
    <t>03/29/2023 at 16:48:43 UTC</t>
  </si>
  <si>
    <t>Bill Pugh</t>
  </si>
  <si>
    <t>FinePrint Software</t>
  </si>
  <si>
    <t>07/07/2020 at 13:07:20 UTC</t>
  </si>
  <si>
    <t>Prompter People</t>
  </si>
  <si>
    <t>11/14/2022 at 17:41:41 UTC</t>
  </si>
  <si>
    <t>12/12/2022 at 03:47:27 UTC</t>
  </si>
  <si>
    <t>The Nutrition Company</t>
  </si>
  <si>
    <t>04/19/2024 at 03:49:31 UTC</t>
  </si>
  <si>
    <t>Comfort Software Group</t>
  </si>
  <si>
    <t>Barbecana</t>
  </si>
  <si>
    <t>Galileo Company</t>
  </si>
  <si>
    <t>09/21/2022 at 02:04:17 UTC</t>
  </si>
  <si>
    <t>Countersoft</t>
  </si>
  <si>
    <t>01/03/2023 at 08:08:43 UTC</t>
  </si>
  <si>
    <t>ketaketish</t>
  </si>
  <si>
    <t>01/17/2024 at 03:51:55 UTC</t>
  </si>
  <si>
    <t>Ginger Software</t>
  </si>
  <si>
    <t>06/06/2024 at 16:17:49 UTC</t>
  </si>
  <si>
    <t>Palo Alto Networks</t>
  </si>
  <si>
    <t>11/21/2023 at 14:54:24 UTC</t>
  </si>
  <si>
    <t>04/04/2024 at 15:40:21 UTC</t>
  </si>
  <si>
    <t>06/30/2020 at 15:38:27 UTC</t>
  </si>
  <si>
    <t>04/13/2023 at 18:10:03 UTC</t>
  </si>
  <si>
    <t>Groundwork Open Source</t>
  </si>
  <si>
    <t>05/09/2023 at 03:56:07 UTC</t>
  </si>
  <si>
    <t>09/16/2019 at 05:49:04 UTC</t>
  </si>
  <si>
    <t>Bosch Healthcare</t>
  </si>
  <si>
    <t>05/15/2019 at 09:30:14 UTC</t>
  </si>
  <si>
    <t>04/07/2019 at 21:08:07 UTC</t>
  </si>
  <si>
    <t>HeartFlow</t>
  </si>
  <si>
    <t>09/08/2022 at 21:00:46 UTC</t>
  </si>
  <si>
    <t>05/19/2020 at 12:47:23 UTC</t>
  </si>
  <si>
    <t>12/20/2022 at 16:43:25 UTC</t>
  </si>
  <si>
    <t>09/23/2024 at 17:09:00 UTC</t>
  </si>
  <si>
    <t>07/19/2021 at 12:34:27 UTC</t>
  </si>
  <si>
    <t>Half-Baked Software</t>
  </si>
  <si>
    <t>Xavier Roche</t>
  </si>
  <si>
    <t>04/18/2019 at 11:10:02 UTC</t>
  </si>
  <si>
    <t>The Hygiene Company</t>
  </si>
  <si>
    <t>WHATWG</t>
  </si>
  <si>
    <t>07/15/2024 at 19:50:15 UTC</t>
  </si>
  <si>
    <t>Macmillan Learning</t>
  </si>
  <si>
    <t>Caregility</t>
  </si>
  <si>
    <t>12/09/2022 at 19:30:41 UTC</t>
  </si>
  <si>
    <t>TTEC</t>
  </si>
  <si>
    <t>07/11/2019 at 07:32:53 UTC</t>
  </si>
  <si>
    <t>Imazen LLC</t>
  </si>
  <si>
    <t>06/16/2020 at 07:59:44 UTC</t>
  </si>
  <si>
    <t>University of Michigan, Institute for Social Research</t>
  </si>
  <si>
    <t>09/01/2022 at 20:19:35 UTC</t>
  </si>
  <si>
    <t>Eracent</t>
  </si>
  <si>
    <t>08/18/2020 at 08:54:58 UTC</t>
  </si>
  <si>
    <t>05/12/2020 at 08:15:24 UTC</t>
  </si>
  <si>
    <t>The Inkscape Team</t>
  </si>
  <si>
    <t>11/26/2022 at 00:53:32 UTC</t>
  </si>
  <si>
    <t>Inspironix</t>
  </si>
  <si>
    <t>01/28/2021 at 15:08:21 UTC</t>
  </si>
  <si>
    <t>InstEd</t>
  </si>
  <si>
    <t>02/27/2024 at 03:42:28 UTC</t>
  </si>
  <si>
    <t>11/01/2018 at 07:00:16 UTC</t>
  </si>
  <si>
    <t>SpeechGear, Inc</t>
  </si>
  <si>
    <t>07/08/2024 at 12:59:12 UTC</t>
  </si>
  <si>
    <t>DeskShare</t>
  </si>
  <si>
    <t>Helicon Tech</t>
  </si>
  <si>
    <t>03/27/2023 at 02:34:42 UTC</t>
  </si>
  <si>
    <t>Iconic</t>
  </si>
  <si>
    <t>10/21/2020 at 09:20:28 UTC</t>
  </si>
  <si>
    <t>IrfanView</t>
  </si>
  <si>
    <t>07/01/2024 at 19:39:41 UTC</t>
  </si>
  <si>
    <t>11/14/2024 at 18:51:30 UTC</t>
  </si>
  <si>
    <t>03/20/2020 at 12:36:11 UTC</t>
  </si>
  <si>
    <t>iTerm2</t>
  </si>
  <si>
    <t>06/01/2020 at 08:30:47 UTC</t>
  </si>
  <si>
    <t>10/04/2021 at 14:29:48 UTC</t>
  </si>
  <si>
    <t>Hikvision</t>
  </si>
  <si>
    <t>04/04/2023 at 02:07:19 UTC</t>
  </si>
  <si>
    <t>JamF</t>
  </si>
  <si>
    <t>08/27/2024 at 15:29:22 UTC</t>
  </si>
  <si>
    <t>01/08/2020 at 11:23:38 UTC</t>
  </si>
  <si>
    <t>04/29/2019 at 14:55:18 UTC</t>
  </si>
  <si>
    <t>Java</t>
  </si>
  <si>
    <t>10/16/2020 at 13:45:15 UTC</t>
  </si>
  <si>
    <t>Einar Lielmanis</t>
  </si>
  <si>
    <t>Domenic Denicola</t>
  </si>
  <si>
    <t>Martin Raifer</t>
  </si>
  <si>
    <t>02/03/2021 at 13:10:01 UTC</t>
  </si>
  <si>
    <t>Jive Software</t>
  </si>
  <si>
    <t>Steve Freeman</t>
  </si>
  <si>
    <t>02/02/2023 at 18:46:49 UTC</t>
  </si>
  <si>
    <t>12/22/2022 at 20:26:05 UTC</t>
  </si>
  <si>
    <t>01/11/2023 at 18:22:31 UTC</t>
  </si>
  <si>
    <t>JSHint</t>
  </si>
  <si>
    <t>Julia Computing</t>
  </si>
  <si>
    <t>Martyn Plummer</t>
  </si>
  <si>
    <t>03/21/2023 at 14:44:42 UTC</t>
  </si>
  <si>
    <t>Kaltura</t>
  </si>
  <si>
    <t>Code Blue Designs</t>
  </si>
  <si>
    <t>02/12/2024 at 20:36:32 UTC</t>
  </si>
  <si>
    <t>Kentucky State Police</t>
  </si>
  <si>
    <t>06/03/2024 at 16:55:01 UTC</t>
  </si>
  <si>
    <t>Morse Watchmans</t>
  </si>
  <si>
    <t>KiXtart</t>
  </si>
  <si>
    <t>04/23/2024 at 16:39:02 UTC</t>
  </si>
  <si>
    <t>BLULab</t>
  </si>
  <si>
    <t>04/21/2020 at 11:20:00 UTC</t>
  </si>
  <si>
    <t>Shimadzu</t>
  </si>
  <si>
    <t>02/23/2024 at 02:59:41 UTC</t>
  </si>
  <si>
    <t>Buanzo (Arturo Busleiman)</t>
  </si>
  <si>
    <t>Lenovo</t>
  </si>
  <si>
    <t>02/28/2024 at 14:29:43 UTC</t>
  </si>
  <si>
    <t>07/10/2020 at 14:30:58 UTC</t>
  </si>
  <si>
    <t>09/01/2022 at 20:19:27 UTC</t>
  </si>
  <si>
    <t>LiveCode Ltd</t>
  </si>
  <si>
    <t>08/27/2024 at 15:31:04 UTC</t>
  </si>
  <si>
    <t>02/06/2019 at 09:44:39 UTC</t>
  </si>
  <si>
    <t>Faithlife Corporation / Logos Bible Software</t>
  </si>
  <si>
    <t>10/18/2024 at 18:16:19 UTC</t>
  </si>
  <si>
    <t>Lucee Association Switzerland</t>
  </si>
  <si>
    <t>Lucidworks</t>
  </si>
  <si>
    <t>08/31/2022 at 02:18:59 UTC</t>
  </si>
  <si>
    <t>12/13/2024 at 19:38:16 UTC</t>
  </si>
  <si>
    <t>11/01/2022 at 18:56:54 UTC</t>
  </si>
  <si>
    <t>Magic Software Enterprises</t>
  </si>
  <si>
    <t>02/02/2023 at 18:46:56 UTC</t>
  </si>
  <si>
    <t>12/26/2023 at 22:06:14 UTC</t>
  </si>
  <si>
    <t>MariaDB</t>
  </si>
  <si>
    <t>08/02/2024 at 19:01:13 UTC</t>
  </si>
  <si>
    <t>Waters</t>
  </si>
  <si>
    <t>12/15/2023 at 19:32:49 UTC</t>
  </si>
  <si>
    <t>06/22/2020 at 13:47:20 UTC</t>
  </si>
  <si>
    <t>Maarten Foukhar</t>
  </si>
  <si>
    <t>01/20/2023 at 19:57:16 UTC</t>
  </si>
  <si>
    <t>MediaWiki</t>
  </si>
  <si>
    <t>Medi-Dose/EPS</t>
  </si>
  <si>
    <t>11/04/2022 at 01:37:21 UTC</t>
  </si>
  <si>
    <t>Society of Nuclear Medicine and Molecular Imaging</t>
  </si>
  <si>
    <t>12/09/2022 at 20:10:49 UTC</t>
  </si>
  <si>
    <t>Elsevier</t>
  </si>
  <si>
    <t>02/12/2024 at 20:36:40 UTC</t>
  </si>
  <si>
    <t>Mark-10</t>
  </si>
  <si>
    <t>10/21/2020 at 09:20:27 UTC</t>
  </si>
  <si>
    <t>08/26/2022 at 00:53:13 UTC</t>
  </si>
  <si>
    <t>01/10/2020 at 09:06:51 UTC</t>
  </si>
  <si>
    <t>04/26/2019 at 10:47:29 UTC</t>
  </si>
  <si>
    <t>11/20/2024 at 14:40:34 UTC</t>
  </si>
  <si>
    <t>09/25/2024 at 01:50:24 UTC</t>
  </si>
  <si>
    <t>03/12/2019 at 19:53:11 UTC</t>
  </si>
  <si>
    <t>12/09/2022 at 20:10:52 UTC</t>
  </si>
  <si>
    <t>06/17/2021 at 21:28:30 UTC</t>
  </si>
  <si>
    <t>06/07/2022 at 16:28:53 UTC</t>
  </si>
  <si>
    <t>03/04/2021 at 13:01:37 UTC</t>
  </si>
  <si>
    <t>04/24/2024 at 18:27:07 UTC</t>
  </si>
  <si>
    <t>05/29/2020 at 14:31:55 UTC</t>
  </si>
  <si>
    <t>MikTex</t>
  </si>
  <si>
    <t>06/13/2024 at 20:25:19 UTC</t>
  </si>
  <si>
    <t>MITRE</t>
  </si>
  <si>
    <t>05/12/2020 at 15:54:24 UTC</t>
  </si>
  <si>
    <t>Batesville, Inc</t>
  </si>
  <si>
    <t>06/02/2020 at 12:49:32 UTC</t>
  </si>
  <si>
    <t>Matt Carter</t>
  </si>
  <si>
    <t>Michael Allen</t>
  </si>
  <si>
    <t>01/05/2023 at 01:51:01 UTC</t>
  </si>
  <si>
    <t>MEGA</t>
  </si>
  <si>
    <t>11/14/2022 at 17:43:12 UTC</t>
  </si>
  <si>
    <t>Bio-Optronics</t>
  </si>
  <si>
    <t>08/01/2019 at 13:33:42 UTC</t>
  </si>
  <si>
    <t>Motion Workshop</t>
  </si>
  <si>
    <t>Motorola</t>
  </si>
  <si>
    <t>03/18/2024 at 23:44:56 UTC</t>
  </si>
  <si>
    <t>Arkane Systems</t>
  </si>
  <si>
    <t>11/01/2022 at 15:15:03 UTC</t>
  </si>
  <si>
    <t>04/10/2024 at 17:17:11 UTC</t>
  </si>
  <si>
    <t>Visual Interaction GmbH</t>
  </si>
  <si>
    <t>06/19/2020 at 10:39:48 UTC</t>
  </si>
  <si>
    <t>02/06/2019 at 09:44:46 UTC</t>
  </si>
  <si>
    <t>NCPDP</t>
  </si>
  <si>
    <t>10/29/2024 at 19:18:25 UTC</t>
  </si>
  <si>
    <t>NewTek NDI</t>
  </si>
  <si>
    <t>01/08/2024 at 17:49:53 UTC</t>
  </si>
  <si>
    <t>03/01/2024 at 18:24:48 UTC</t>
  </si>
  <si>
    <t>Boson</t>
  </si>
  <si>
    <t>Swimlane</t>
  </si>
  <si>
    <t>DxO Labs</t>
  </si>
  <si>
    <t>12/06/2022 at 02:46:58 UTC</t>
  </si>
  <si>
    <t>npm, Inc</t>
  </si>
  <si>
    <t>Skrommel</t>
  </si>
  <si>
    <t>09/26/2024 at 17:51:09 UTC</t>
  </si>
  <si>
    <t>Giorgio Maone</t>
  </si>
  <si>
    <t>04/17/2023 at 16:02:56 UTC</t>
  </si>
  <si>
    <t>OBSBOT</t>
  </si>
  <si>
    <t>08/12/2024 at 15:25:15 UTC</t>
  </si>
  <si>
    <t>SkillTRAN</t>
  </si>
  <si>
    <t>OfficeConvert Software</t>
  </si>
  <si>
    <t>05/19/2020 at 12:52:34 UTC</t>
  </si>
  <si>
    <t>Olea Medical</t>
  </si>
  <si>
    <t>12/23/2021 at 16:37:42 UTC</t>
  </si>
  <si>
    <t>03/26/2019 at 15:16:55 UTC</t>
  </si>
  <si>
    <t>Hammer Technologies</t>
  </si>
  <si>
    <t>07/01/2024 at 15:53:16 UTC</t>
  </si>
  <si>
    <t>Dr Kensaku Kawamoto</t>
  </si>
  <si>
    <t>12/07/2020 at 22:46:20 UTC</t>
  </si>
  <si>
    <t>Khronos Group</t>
  </si>
  <si>
    <t>01/23/2024 at 01:30:43 UTC</t>
  </si>
  <si>
    <t>OpenCV</t>
  </si>
  <si>
    <t>Open Layers</t>
  </si>
  <si>
    <t>SimTK</t>
  </si>
  <si>
    <t>09/29/2022 at 16:40:23 UTC</t>
  </si>
  <si>
    <t>OpenStack</t>
  </si>
  <si>
    <t>Option Technologies</t>
  </si>
  <si>
    <t>11/17/2021 at 01:35:20 UTC</t>
  </si>
  <si>
    <t>Allscripts</t>
  </si>
  <si>
    <t>11/09/2023 at 19:23:10 UTC</t>
  </si>
  <si>
    <t>07/24/2024 at 04:25:16 UTC</t>
  </si>
  <si>
    <t>12/13/2024 at 19:39:14 UTC</t>
  </si>
  <si>
    <t>Digitech Systems</t>
  </si>
  <si>
    <t>Jared Hanson</t>
  </si>
  <si>
    <t>Paterva</t>
  </si>
  <si>
    <t>03/16/2021 at 15:23:37 UTC</t>
  </si>
  <si>
    <t>04/10/2023 at 02:59:45 UTC</t>
  </si>
  <si>
    <t>SPOT Imaging Solutions</t>
  </si>
  <si>
    <t>Axis Clinical Software</t>
  </si>
  <si>
    <t>08/27/2019 at 08:51:25 UTC</t>
  </si>
  <si>
    <t>04/04/2023 at 02:07:18 UTC</t>
  </si>
  <si>
    <t>11/16/2018 at 11:44:42 UTC</t>
  </si>
  <si>
    <t>pexpect</t>
  </si>
  <si>
    <t>pgRouting Community</t>
  </si>
  <si>
    <t>04/11/2023 at 02:19:08 UTC</t>
  </si>
  <si>
    <t>Ariya Hidayat</t>
  </si>
  <si>
    <t>04/18/2024 at 18:19:33 UTC</t>
  </si>
  <si>
    <t>Codehaus Plexus</t>
  </si>
  <si>
    <t>Proteor USA</t>
  </si>
  <si>
    <t>Boys Town National Research Hospital</t>
  </si>
  <si>
    <t>03/26/2021 at 10:14:22 UTC</t>
  </si>
  <si>
    <t>Department of Population Medicine, Harvard Medical School</t>
  </si>
  <si>
    <t>07/31/2020 at 11:13:42 UTC</t>
  </si>
  <si>
    <t>PDF Complete</t>
  </si>
  <si>
    <t>Tracker Software</t>
  </si>
  <si>
    <t>06/02/2020 at 12:49:33 UTC</t>
  </si>
  <si>
    <t>ConeXware</t>
  </si>
  <si>
    <t>05/01/2023 at 00:57:27 UTC</t>
  </si>
  <si>
    <t>Clikapad</t>
  </si>
  <si>
    <t>08/27/2024 at 15:34:05 UTC</t>
  </si>
  <si>
    <t>Presentation Assistant</t>
  </si>
  <si>
    <t>12/15/2023 at 19:32:57 UTC</t>
  </si>
  <si>
    <t>Alexandre Strzelewicz</t>
  </si>
  <si>
    <t>07/19/2024 at 16:33:53 UTC</t>
  </si>
  <si>
    <t>05/01/2020 at 14:08:55 UTC</t>
  </si>
  <si>
    <t>Progeny Genetics LLC</t>
  </si>
  <si>
    <t>05/11/2023 at 16:50:59 UTC</t>
  </si>
  <si>
    <t>Proofpoint</t>
  </si>
  <si>
    <t>03/30/2020 at 07:52:42 UTC</t>
  </si>
  <si>
    <t>PROXY Networks, Inc</t>
  </si>
  <si>
    <t>05/07/2020 at 15:41:07 UTC</t>
  </si>
  <si>
    <t>Shane T Mueller</t>
  </si>
  <si>
    <t>Hands Down Software</t>
  </si>
  <si>
    <t>02/02/2023 at 18:46:52 UTC</t>
  </si>
  <si>
    <t>08/19/2024 at 14:47:19 UTC</t>
  </si>
  <si>
    <t>10/31/2022 at 02:31:56 UTC</t>
  </si>
  <si>
    <t>BD</t>
  </si>
  <si>
    <t>02/14/2019 at 19:05:53 UTC</t>
  </si>
  <si>
    <t>Quality Unit</t>
  </si>
  <si>
    <t>06/16/2020 at 07:59:41 UTC</t>
  </si>
  <si>
    <t>RTTS</t>
  </si>
  <si>
    <t>08/18/2020 at 08:55:02 UTC</t>
  </si>
  <si>
    <t>One Identity</t>
  </si>
  <si>
    <t>07/10/2020 at 14:34:29 UTC</t>
  </si>
  <si>
    <t>12/04/2018 at 13:07:42 UTC</t>
  </si>
  <si>
    <t>Go Pro</t>
  </si>
  <si>
    <t>05/06/2020 at 16:34:24 UTC</t>
  </si>
  <si>
    <t>Railo Technologies</t>
  </si>
  <si>
    <t>Rainmeter</t>
  </si>
  <si>
    <t>08/27/2024 at 15:34:21 UTC</t>
  </si>
  <si>
    <t>12/09/2024 at 18:20:05 UTC</t>
  </si>
  <si>
    <t>09/26/2022 at 02:04:18 UTC</t>
  </si>
  <si>
    <t>RedPoint</t>
  </si>
  <si>
    <t>Resplendence</t>
  </si>
  <si>
    <t>08/27/2024 at 15:34:38 UTC</t>
  </si>
  <si>
    <t>Devolutions</t>
  </si>
  <si>
    <t>06/14/2022 at 15:55:14 UTC</t>
  </si>
  <si>
    <t>LizardSystems</t>
  </si>
  <si>
    <t>08/27/2024 at 15:33:41 UTC</t>
  </si>
  <si>
    <t>07/23/2019 at 12:07:49 UTC</t>
  </si>
  <si>
    <t>01/18/2024 at 02:52:02 UTC</t>
  </si>
  <si>
    <t>Revizto</t>
  </si>
  <si>
    <t>03/13/2023 at 16:48:00 UTC</t>
  </si>
  <si>
    <t>Resolver</t>
  </si>
  <si>
    <t>03/26/2021 at 10:14:19 UTC</t>
  </si>
  <si>
    <t>Print Control Software (PCS)</t>
  </si>
  <si>
    <t>Instrumentation Laboratory</t>
  </si>
  <si>
    <t>11/25/2021 at 01:21:11 UTC</t>
  </si>
  <si>
    <t>RSSOwl</t>
  </si>
  <si>
    <t>07/24/2024 at 04:25:03 UTC</t>
  </si>
  <si>
    <t>DataCore</t>
  </si>
  <si>
    <t>08/18/2020 at 08:55:03 UTC</t>
  </si>
  <si>
    <t>11/25/2020 at 16:34:39 UTC</t>
  </si>
  <si>
    <t>Scala</t>
  </si>
  <si>
    <t>11/25/2024 at 18:01:55 UTC</t>
  </si>
  <si>
    <t>Beckhoff</t>
  </si>
  <si>
    <t>07/23/2019 at 12:07:42 UTC</t>
  </si>
  <si>
    <t>Screaming Frog</t>
  </si>
  <si>
    <t>University of Washington</t>
  </si>
  <si>
    <t>02/09/2021 at 20:35:17 UTC</t>
  </si>
  <si>
    <t>04/23/2020 at 16:24:16 UTC</t>
  </si>
  <si>
    <t>rcFederation</t>
  </si>
  <si>
    <t>HealthData</t>
  </si>
  <si>
    <t>10/14/2024 at 01:23:01 UTC</t>
  </si>
  <si>
    <t>RSI</t>
  </si>
  <si>
    <t>08/28/2024 at 17:43:12 UTC</t>
  </si>
  <si>
    <t>Advanced Distributed Learning (ADL)</t>
  </si>
  <si>
    <t>Sharp</t>
  </si>
  <si>
    <t>02/28/2021 at 22:04:20 UTC</t>
  </si>
  <si>
    <t>APCO</t>
  </si>
  <si>
    <t>Simio</t>
  </si>
  <si>
    <t>10/16/2024 at 21:31:28 UTC</t>
  </si>
  <si>
    <t>08/26/2019 at 15:03:49 UTC</t>
  </si>
  <si>
    <t>03/24/2019 at 21:18:30 UTC</t>
  </si>
  <si>
    <t>Matthias Kramm</t>
  </si>
  <si>
    <t>Secureonix</t>
  </si>
  <si>
    <t>05/28/2020 at 16:31:06 UTC</t>
  </si>
  <si>
    <t>03/08/2024 at 03:14:00 UTC</t>
  </si>
  <si>
    <t>SEPS</t>
  </si>
  <si>
    <t>11/25/2024 at 18:02:55 UTC</t>
  </si>
  <si>
    <t>12/13/2024 at 19:36:31 UTC</t>
  </si>
  <si>
    <t>Squirrels LLC</t>
  </si>
  <si>
    <t>11/29/2024 at 20:47:30 UTC</t>
  </si>
  <si>
    <t>Adobe Github</t>
  </si>
  <si>
    <t>03/08/2019 at 12:32:02 UTC</t>
  </si>
  <si>
    <t>03/02/2020 at 15:14:58 UTC</t>
  </si>
  <si>
    <t>fxfactory</t>
  </si>
  <si>
    <t>02/12/2019 at 09:48:51 UTC</t>
  </si>
  <si>
    <t>05/06/2020 at 16:34:25 UTC</t>
  </si>
  <si>
    <t>Stimulus Technology</t>
  </si>
  <si>
    <t>06/18/2024 at 21:36:47 UTC</t>
  </si>
  <si>
    <t>08/03/2020 at 21:15:23 UTC</t>
  </si>
  <si>
    <t>SmithMicro Software</t>
  </si>
  <si>
    <t>05/16/2024 at 15:53:26 UTC</t>
  </si>
  <si>
    <t>Chris Dahlberg</t>
  </si>
  <si>
    <t>10/12/2020 at 12:32:59 UTC</t>
  </si>
  <si>
    <t>Sloth</t>
  </si>
  <si>
    <t>Super Micro</t>
  </si>
  <si>
    <t>Modality Systems Ltd</t>
  </si>
  <si>
    <t>SupraVISTA Medical DSS, LLC</t>
  </si>
  <si>
    <t>04/01/2021 at 15:28:25 UTC</t>
  </si>
  <si>
    <t>01/10/2023 at 02:26:13 UTC</t>
  </si>
  <si>
    <t>03/10/2021 at 13:07:18 UTC</t>
  </si>
  <si>
    <t>SirsiDynix</t>
  </si>
  <si>
    <t>Jack Henry &amp; Associates</t>
  </si>
  <si>
    <t>10/14/2024 at 01:23:18 UTC</t>
  </si>
  <si>
    <t>10/25/2024 at 15:59:16 UTC</t>
  </si>
  <si>
    <t>JP Software</t>
  </si>
  <si>
    <t>07/24/2020 at 09:24:38 UTC</t>
  </si>
  <si>
    <t>Terrago Tech</t>
  </si>
  <si>
    <t>10/14/2024 at 01:23:30 UTC</t>
  </si>
  <si>
    <t>XM1</t>
  </si>
  <si>
    <t>Encore</t>
  </si>
  <si>
    <t>03/08/2024 at 03:43:26 UTC</t>
  </si>
  <si>
    <t>Uwe Sieber</t>
  </si>
  <si>
    <t>10/16/2024 at 21:32:12 UTC</t>
  </si>
  <si>
    <t>TortoiseGit</t>
  </si>
  <si>
    <t>JTech Medical</t>
  </si>
  <si>
    <t>06/24/2021 at 12:44:13 UTC</t>
  </si>
  <si>
    <t>04/26/2019 at 10:47:33 UTC</t>
  </si>
  <si>
    <t>Integrated Groundwater Modeling Center</t>
  </si>
  <si>
    <t>Realtime</t>
  </si>
  <si>
    <t>01/20/2023 at 19:57:08 UTC</t>
  </si>
  <si>
    <t>ONC</t>
  </si>
  <si>
    <t>Pacific Energy Center</t>
  </si>
  <si>
    <t>06/18/2024 at 21:37:17 UTC</t>
  </si>
  <si>
    <t>07/01/2024 at 19:39:30 UTC</t>
  </si>
  <si>
    <t>Ventana Medical Systems</t>
  </si>
  <si>
    <t>06/17/2021 at 21:28:29 UTC</t>
  </si>
  <si>
    <t>VCFTools</t>
  </si>
  <si>
    <t>11/28/2022 at 02:39:49 UTC</t>
  </si>
  <si>
    <t>10/18/2022 at 17:41:04 UTC</t>
  </si>
  <si>
    <t>DSHI Systems</t>
  </si>
  <si>
    <t>08/26/2019 at 15:04:19 UTC</t>
  </si>
  <si>
    <t>Corel</t>
  </si>
  <si>
    <t>Elaborate Bytes AG</t>
  </si>
  <si>
    <t>HHD Software</t>
  </si>
  <si>
    <t>11/02/2020 at 11:39:14 UTC</t>
  </si>
  <si>
    <t>VisionStar LLC</t>
  </si>
  <si>
    <t>Intrinisic Systems, Inc</t>
  </si>
  <si>
    <t>08/03/2020 at 21:15:24 UTC</t>
  </si>
  <si>
    <t>Atlas Business Solutions</t>
  </si>
  <si>
    <t>NCR</t>
  </si>
  <si>
    <t>12/04/2020 at 14:58:14 UTC</t>
  </si>
  <si>
    <t>12/09/2022 at 20:11:23 UTC</t>
  </si>
  <si>
    <t>02/06/2024 at 02:01:44 UTC</t>
  </si>
  <si>
    <t>NetScout Systems, Inc</t>
  </si>
  <si>
    <t>06/16/2020 at 07:59:48 UTC</t>
  </si>
  <si>
    <t>10/24/2023 at 13:47:16 UTC</t>
  </si>
  <si>
    <t>Open Geospatial Consortium</t>
  </si>
  <si>
    <t>06/18/2024 at 21:37:24 UTC</t>
  </si>
  <si>
    <t>OASIS OPEN</t>
  </si>
  <si>
    <t>01/05/2023 at 01:50:52 UTC</t>
  </si>
  <si>
    <t>01/23/2024 at 01:30:44 UTC</t>
  </si>
  <si>
    <t>07/29/2019 at 07:24:23 UTC</t>
  </si>
  <si>
    <t>Sysprogs</t>
  </si>
  <si>
    <t>Complete Medical Solutions</t>
  </si>
  <si>
    <t>01/03/2023 at 08:08:45 UTC</t>
  </si>
  <si>
    <t>Synametrics Technologies</t>
  </si>
  <si>
    <t>National Institutes of Health - US National Laboratory of Medicine</t>
  </si>
  <si>
    <t>Wrike</t>
  </si>
  <si>
    <t>Penquills</t>
  </si>
  <si>
    <t>07/23/2019 at 12:07:56 UTC</t>
  </si>
  <si>
    <t>11/15/2024 at 22:28:43 UTC</t>
  </si>
  <si>
    <t>ZeroMQ</t>
  </si>
  <si>
    <t>Information Builders</t>
  </si>
  <si>
    <t>10/09/2019 at 11:55:18 UTC</t>
  </si>
  <si>
    <t>22Miles</t>
  </si>
  <si>
    <t>03/04/2024 at 21:12:22 UTC</t>
  </si>
  <si>
    <t>12/10/2024 at 18:06:54 UTC</t>
  </si>
  <si>
    <t>02/12/2024 at 20:36:20 UTC</t>
  </si>
  <si>
    <t>Synbiosis</t>
  </si>
  <si>
    <t>01/30/2024 at 00:10:16 UTC</t>
  </si>
  <si>
    <t>11/23/2022 at 20:14:10 UTC</t>
  </si>
  <si>
    <t>12/27/2022 at 22:03:48 UTC</t>
  </si>
  <si>
    <t>09/14/2022 at 19:24:12 UTC</t>
  </si>
  <si>
    <t>12/12/2023 at 19:46:10 UTC</t>
  </si>
  <si>
    <t>10/14/2024 at 01:22:48 UTC</t>
  </si>
  <si>
    <t>11/20/2024 at 14:40:25 UTC</t>
  </si>
  <si>
    <t>02/02/2024 at 03:07:31 UTC</t>
  </si>
  <si>
    <t>AMD Global Telemedicine</t>
  </si>
  <si>
    <t>09/01/2022 at 20:19:36 UTC</t>
  </si>
  <si>
    <t>Datalogic</t>
  </si>
  <si>
    <t>04/04/2024 at 15:40:29 UTC</t>
  </si>
  <si>
    <t>07/19/2024 at 16:33:56 UTC</t>
  </si>
  <si>
    <t>01/03/2023 at 08:08:46 UTC</t>
  </si>
  <si>
    <t>11/14/2022 at 17:41:49 UTC</t>
  </si>
  <si>
    <t>S-CORP</t>
  </si>
  <si>
    <t>ADAPTIVE MICRO SYSTEMS</t>
  </si>
  <si>
    <t>02/15/2024 at 23:27:38 UTC</t>
  </si>
  <si>
    <t>Altamont Software</t>
  </si>
  <si>
    <t>04/10/2024 at 02:06:07 UTC</t>
  </si>
  <si>
    <t>Nenand Hrg</t>
  </si>
  <si>
    <t>05/10/2024 at 16:22:52 UTC</t>
  </si>
  <si>
    <t>10/16/2018 at 09:41:20 UTC</t>
  </si>
  <si>
    <t>AmScope</t>
  </si>
  <si>
    <t>Amylior</t>
  </si>
  <si>
    <t>Scientific and Statistical Computing Core (SSCC) National Institute of Mental Health (NIMH)</t>
  </si>
  <si>
    <t>03/14/2024 at 15:08:57 UTC</t>
  </si>
  <si>
    <t>Antibody Software</t>
  </si>
  <si>
    <t>AVCLabs</t>
  </si>
  <si>
    <t>03/08/2024 at 03:13:04 UTC</t>
  </si>
  <si>
    <t>01/30/2024 at 00:10:22 UTC</t>
  </si>
  <si>
    <t>10/26/2023 at 19:18:33 UTC</t>
  </si>
  <si>
    <t>01/30/2024 at 01:07:28 UTC</t>
  </si>
  <si>
    <t>03/01/2023 at 22:30:32 UTC</t>
  </si>
  <si>
    <t>Appspace</t>
  </si>
  <si>
    <t>Aqua Security</t>
  </si>
  <si>
    <t>05/08/2024 at 13:47:59 UTC</t>
  </si>
  <si>
    <t>06/27/2024 at 17:09:34 UTC</t>
  </si>
  <si>
    <t>10/26/2023 at 19:18:30 UTC</t>
  </si>
  <si>
    <t>Argo Rollouts</t>
  </si>
  <si>
    <t>Stanley Healthcare</t>
  </si>
  <si>
    <t>12/22/2022 at 23:05:54 UTC</t>
  </si>
  <si>
    <t>03/27/2023 at 02:34:35 UTC</t>
  </si>
  <si>
    <t>08/10/2023 at 00:54:51 UTC</t>
  </si>
  <si>
    <t>Persits Software Inc</t>
  </si>
  <si>
    <t>Assessment Center</t>
  </si>
  <si>
    <t>08/02/2022 at 18:18:33 UTC</t>
  </si>
  <si>
    <t>AudioCARE Systems</t>
  </si>
  <si>
    <t>01/10/2024 at 21:11:23 UTC</t>
  </si>
  <si>
    <t>01/10/2024 at 21:11:28 UTC</t>
  </si>
  <si>
    <t>03/14/2024 at 15:08:48 UTC</t>
  </si>
  <si>
    <t>01/10/2024 at 21:11:27 UTC</t>
  </si>
  <si>
    <t>01/10/2024 at 21:11:26 UTC</t>
  </si>
  <si>
    <t>06/27/2024 at 17:09:36 UTC</t>
  </si>
  <si>
    <t>01/10/2024 at 21:11:22 UTC</t>
  </si>
  <si>
    <t>Lentech, Inc</t>
  </si>
  <si>
    <t>09/16/2024 at 14:32:16 UTC</t>
  </si>
  <si>
    <t>Videndum</t>
  </si>
  <si>
    <t>AvaSure, LLC</t>
  </si>
  <si>
    <t>01/30/2024 at 01:07:24 UTC</t>
  </si>
  <si>
    <t>03/27/2024 at 02:56:27 UTC</t>
  </si>
  <si>
    <t>Badboy Software</t>
  </si>
  <si>
    <t>02/16/2023 at 18:14:53 UTC</t>
  </si>
  <si>
    <t>FilmLight</t>
  </si>
  <si>
    <t>TAL Technology</t>
  </si>
  <si>
    <t>02/14/2024 at 03:14:51 UTC</t>
  </si>
  <si>
    <t>PREMIER Biosoft</t>
  </si>
  <si>
    <t>12/10/2024 at 21:43:11 UTC</t>
  </si>
  <si>
    <t>Capital Solution Design</t>
  </si>
  <si>
    <t>11/15/2022 at 13:31:31 UTC</t>
  </si>
  <si>
    <t>11/14/2022 at 02:06:18 UTC</t>
  </si>
  <si>
    <t>BitRecover</t>
  </si>
  <si>
    <t>02/22/2024 at 02:55:51 UTC</t>
  </si>
  <si>
    <t>Blackford Analysis</t>
  </si>
  <si>
    <t>03/18/2024 at 23:34:35 UTC</t>
  </si>
  <si>
    <t>Contec Medical Systems</t>
  </si>
  <si>
    <t>04/05/2023 at 00:57:30 UTC</t>
  </si>
  <si>
    <t>Ensemble Designs, Inc</t>
  </si>
  <si>
    <t>11/04/2022 at 00:18:49 UTC</t>
  </si>
  <si>
    <t>Witivio</t>
  </si>
  <si>
    <t>Carousel</t>
  </si>
  <si>
    <t>03/14/2024 at 16:04:12 UTC</t>
  </si>
  <si>
    <t>Camstudio</t>
  </si>
  <si>
    <t>06/27/2024 at 17:09:26 UTC</t>
  </si>
  <si>
    <t>03/04/2024 at 21:13:11 UTC</t>
  </si>
  <si>
    <t>10/25/2022 at 19:18:05 UTC</t>
  </si>
  <si>
    <t>Shipcom Wireless, Inc</t>
  </si>
  <si>
    <t>Outcome Engenuity</t>
  </si>
  <si>
    <t>CNS Vital Signs, LLC</t>
  </si>
  <si>
    <t>05/11/2023 at 14:43:35 UTC</t>
  </si>
  <si>
    <t>Rees Scientific</t>
  </si>
  <si>
    <t>01/24/2024 at 03:41:08 UTC</t>
  </si>
  <si>
    <t>CheckStyle</t>
  </si>
  <si>
    <t>05/14/2024 at 21:56:40 UTC</t>
  </si>
  <si>
    <t>Health Services Research and Development Service (HSR&amp;D)</t>
  </si>
  <si>
    <t>01/07/2025 at 01:24:55 UTC</t>
  </si>
  <si>
    <t>CNSI</t>
  </si>
  <si>
    <t>12/09/2022 at 20:09:54 UTC</t>
  </si>
  <si>
    <t>Aptarro</t>
  </si>
  <si>
    <t>CleanRobotics</t>
  </si>
  <si>
    <t>Neogen Corporation</t>
  </si>
  <si>
    <t>ClickLearn</t>
  </si>
  <si>
    <t>CliniComp International</t>
  </si>
  <si>
    <t>09/26/2024 at 17:51:15 UTC</t>
  </si>
  <si>
    <t>Medpace</t>
  </si>
  <si>
    <t>03/14/2024 at 16:04:23 UTC</t>
  </si>
  <si>
    <t>Infor</t>
  </si>
  <si>
    <t>01/30/2024 at 01:07:50 UTC</t>
  </si>
  <si>
    <t>ADA</t>
  </si>
  <si>
    <t>04/08/2019 at 06:19:04 UTC</t>
  </si>
  <si>
    <t>Mark Dombeck</t>
  </si>
  <si>
    <t>04/04/2024 at 15:40:19 UTC</t>
  </si>
  <si>
    <t>Stanford Medicine, Systems Neuroscience and Pain Lab (SNAPL)</t>
  </si>
  <si>
    <t>04/01/2024 at 02:08:19 UTC</t>
  </si>
  <si>
    <t>Chris Eppstein</t>
  </si>
  <si>
    <t>Tekscan</t>
  </si>
  <si>
    <t>02/22/2023 at 19:05:52 UTC</t>
  </si>
  <si>
    <t>Secure Systems Engineering</t>
  </si>
  <si>
    <t>03/08/2024 at 03:13:28 UTC</t>
  </si>
  <si>
    <t>05/22/2024 at 16:13:33 UTC</t>
  </si>
  <si>
    <t>Hill-Rom</t>
  </si>
  <si>
    <t>01/07/2025 at 01:24:57 UTC</t>
  </si>
  <si>
    <t>TDi Technologies</t>
  </si>
  <si>
    <t>Continua Health Alliance</t>
  </si>
  <si>
    <t>02/06/2019 at 08:16:57 UTC</t>
  </si>
  <si>
    <t>01/18/2024 at 02:49:55 UTC</t>
  </si>
  <si>
    <t>Rhapsody</t>
  </si>
  <si>
    <t>Cority</t>
  </si>
  <si>
    <t>RSMeans</t>
  </si>
  <si>
    <t>CrowdStrike</t>
  </si>
  <si>
    <t>11/08/2024 at 02:03:25 UTC</t>
  </si>
  <si>
    <t>The CrypTool Project</t>
  </si>
  <si>
    <t>02/06/2024 at 02:01:13 UTC</t>
  </si>
  <si>
    <t>08/18/2022 at 18:58:20 UTC</t>
  </si>
  <si>
    <t>08/19/2024 at 14:47:30 UTC</t>
  </si>
  <si>
    <t>Lucastle</t>
  </si>
  <si>
    <t>MetaCPAN</t>
  </si>
  <si>
    <t>University of Utah, Department of Biomedical Informatics</t>
  </si>
  <si>
    <t>03/20/2024 at 02:23:10 UTC</t>
  </si>
  <si>
    <t>Balter Medical AS</t>
  </si>
  <si>
    <t>02/06/2024 at 02:01:15 UTC</t>
  </si>
  <si>
    <t>APA</t>
  </si>
  <si>
    <t>04/09/2019 at 13:54:24 UTC</t>
  </si>
  <si>
    <t>Renesan Software</t>
  </si>
  <si>
    <t>01/05/2024 at 19:07:33 UTC</t>
  </si>
  <si>
    <t>Diameter Health, LLC</t>
  </si>
  <si>
    <t>12/14/2022 at 23:22:59 UTC</t>
  </si>
  <si>
    <t>Dickson</t>
  </si>
  <si>
    <t>06/18/2024 at 21:35:54 UTC</t>
  </si>
  <si>
    <t>DigiCert, Inc</t>
  </si>
  <si>
    <t>12/26/2023 at 22:06:20 UTC</t>
  </si>
  <si>
    <t>SST Group</t>
  </si>
  <si>
    <t>06/03/2024 at 19:05:43 UTC</t>
  </si>
  <si>
    <t>Armstrong International</t>
  </si>
  <si>
    <t>02/22/2024 at 02:55:54 UTC</t>
  </si>
  <si>
    <t>Data Distributing</t>
  </si>
  <si>
    <t>02/06/2024 at 02:01:17 UTC</t>
  </si>
  <si>
    <t>Discharge 1-2-3</t>
  </si>
  <si>
    <t>12/09/2022 at 20:09:57 UTC</t>
  </si>
  <si>
    <t>SI Systems</t>
  </si>
  <si>
    <t>Atanas Neshkov</t>
  </si>
  <si>
    <t>04/07/2019 at 21:07:59 UTC</t>
  </si>
  <si>
    <t>12/12/2023 at 16:53:39 UTC</t>
  </si>
  <si>
    <t>02/02/2023 at 18:46:41 UTC</t>
  </si>
  <si>
    <t>04/01/2024 at 02:09:10 UTC</t>
  </si>
  <si>
    <t>DPlot</t>
  </si>
  <si>
    <t>09/03/2024 at 15:13:35 UTC</t>
  </si>
  <si>
    <t>11/06/2024 at 02:07:38 UTC</t>
  </si>
  <si>
    <t>10/03/2023 at 02:09:32 UTC</t>
  </si>
  <si>
    <t>12/13/2023 at 14:52:01 UTC</t>
  </si>
  <si>
    <t>09/01/2022 at 20:19:25 UTC</t>
  </si>
  <si>
    <t>EBSCO Information Services</t>
  </si>
  <si>
    <t>03/14/2024 at 15:08:58 UTC</t>
  </si>
  <si>
    <t>02/07/2024 at 17:47:22 UTC</t>
  </si>
  <si>
    <t>10/03/2023 at 02:09:29 UTC</t>
  </si>
  <si>
    <t>Matthew Eernisse</t>
  </si>
  <si>
    <t>ICE Mortgage Technology</t>
  </si>
  <si>
    <t>NewCura</t>
  </si>
  <si>
    <t>Charles River</t>
  </si>
  <si>
    <t>11/07/2024 at 19:09:08 UTC</t>
  </si>
  <si>
    <t>Monarch Medical Technologies</t>
  </si>
  <si>
    <t>Technology Industries</t>
  </si>
  <si>
    <t>EP Studio</t>
  </si>
  <si>
    <t>Epicure Digital</t>
  </si>
  <si>
    <t>04/04/2024 at 15:40:28 UTC</t>
  </si>
  <si>
    <t>eRAD</t>
  </si>
  <si>
    <t>02/12/2024 at 03:26:44 UTC</t>
  </si>
  <si>
    <t>Frederico Terzi</t>
  </si>
  <si>
    <t>01/11/2024 at 17:00:45 UTC</t>
  </si>
  <si>
    <t>Envoy Medical</t>
  </si>
  <si>
    <t>GS1</t>
  </si>
  <si>
    <t>05/20/2019 at 14:31:38 UTC</t>
  </si>
  <si>
    <t>Optimal Solutions</t>
  </si>
  <si>
    <t>04/04/2023 at 02:07:22 UTC</t>
  </si>
  <si>
    <t>Exacq Technologies</t>
  </si>
  <si>
    <t>FastStone Soft</t>
  </si>
  <si>
    <t>07/15/2024 at 19:06:11 UTC</t>
  </si>
  <si>
    <t>FileOpen Systems</t>
  </si>
  <si>
    <t>07/01/2024 at 15:53:06 UTC</t>
  </si>
  <si>
    <t>FILMETRICS</t>
  </si>
  <si>
    <t>11/02/2023 at 18:48:03 UTC</t>
  </si>
  <si>
    <t>Digital Combustion</t>
  </si>
  <si>
    <t>Trintech</t>
  </si>
  <si>
    <t>FCDS</t>
  </si>
  <si>
    <t>XSENSOR Technology</t>
  </si>
  <si>
    <t>05/16/2024 at 15:53:27 UTC</t>
  </si>
  <si>
    <t>10/25/2023 at 20:43:40 UTC</t>
  </si>
  <si>
    <t>02/12/2024 at 20:36:27 UTC</t>
  </si>
  <si>
    <t>Intergral</t>
  </si>
  <si>
    <t>09/19/2024 at 17:25:07 UTC</t>
  </si>
  <si>
    <t>Gatan</t>
  </si>
  <si>
    <t>10/03/2023 at 15:45:27 UTC</t>
  </si>
  <si>
    <t>12/26/2023 at 22:06:15 UTC</t>
  </si>
  <si>
    <t>06/07/2024 at 18:33:12 UTC</t>
  </si>
  <si>
    <t>Gibson Ridge Software LLC</t>
  </si>
  <si>
    <t>01/07/2025 at 01:25:03 UTC</t>
  </si>
  <si>
    <t>All Safe Industries</t>
  </si>
  <si>
    <t>02/12/2024 at 20:36:28 UTC</t>
  </si>
  <si>
    <t>Global Telehealth Services</t>
  </si>
  <si>
    <t>09/01/2022 at 20:19:30 UTC</t>
  </si>
  <si>
    <t>09/19/2024 at 17:25:26 UTC</t>
  </si>
  <si>
    <t>GoldShield Technologies</t>
  </si>
  <si>
    <t>GRB</t>
  </si>
  <si>
    <t>12/06/2023 at 02:43:49 UTC</t>
  </si>
  <si>
    <t>UKG</t>
  </si>
  <si>
    <t>Green&amp;#39;s Publishing</t>
  </si>
  <si>
    <t>04/01/2024 at 02:11:13 UTC</t>
  </si>
  <si>
    <t>07/01/2024 at 19:39:38 UTC</t>
  </si>
  <si>
    <t>01/23/2024 at 01:30:37 UTC</t>
  </si>
  <si>
    <t>10/13/2023 at 18:32:47 UTC</t>
  </si>
  <si>
    <t>Indica Labs</t>
  </si>
  <si>
    <t>04/28/2023 at 18:46:19 UTC</t>
  </si>
  <si>
    <t>02/06/2019 at 08:31:00 UTC</t>
  </si>
  <si>
    <t>12/12/2023 at 16:41:38 UTC</t>
  </si>
  <si>
    <t>Healthline Information Systems</t>
  </si>
  <si>
    <t>Millennium Prevention</t>
  </si>
  <si>
    <t>04/27/2023 at 17:17:46 UTC</t>
  </si>
  <si>
    <t>Healthmark Industries</t>
  </si>
  <si>
    <t>Tanita</t>
  </si>
  <si>
    <t>02/15/2024 at 23:27:35 UTC</t>
  </si>
  <si>
    <t>HVAC Solution</t>
  </si>
  <si>
    <t>01/23/2024 at 01:30:46 UTC</t>
  </si>
  <si>
    <t>Helena Biosciences</t>
  </si>
  <si>
    <t>04/04/2024 at 03:11:02 UTC</t>
  </si>
  <si>
    <t>Werfen</t>
  </si>
  <si>
    <t>Meyer Instruments</t>
  </si>
  <si>
    <t>07/03/2024 at 19:34:10 UTC</t>
  </si>
  <si>
    <t>HTS</t>
  </si>
  <si>
    <t>11/02/2022 at 04:10:29 UTC</t>
  </si>
  <si>
    <t>Horos Project</t>
  </si>
  <si>
    <t>One Lambda</t>
  </si>
  <si>
    <t>10/18/2024 at 18:16:17 UTC</t>
  </si>
  <si>
    <t>01/17/2024 at 03:52:00 UTC</t>
  </si>
  <si>
    <t>08/31/2014 at 19:37:30 UTC</t>
  </si>
  <si>
    <t>IGEL</t>
  </si>
  <si>
    <t>04/12/2024 at 16:24:14 UTC</t>
  </si>
  <si>
    <t>iGrafx</t>
  </si>
  <si>
    <t>02/23/2024 at 02:59:40 UTC</t>
  </si>
  <si>
    <t>NewEra Software</t>
  </si>
  <si>
    <t>01/18/2024 at 02:50:37 UTC</t>
  </si>
  <si>
    <t>04/24/2024 at 18:28:16 UTC</t>
  </si>
  <si>
    <t>Health Catalyst</t>
  </si>
  <si>
    <t>10/10/2022 at 20:11:49 UTC</t>
  </si>
  <si>
    <t>Teledyne Vision Solutions</t>
  </si>
  <si>
    <t>TechEd Marketing Ltd</t>
  </si>
  <si>
    <t>Inspire Medical Systems</t>
  </si>
  <si>
    <t>04/24/2024 at 18:26:54 UTC</t>
  </si>
  <si>
    <t>Arashi Vision</t>
  </si>
  <si>
    <t>Integrated Research (IR)</t>
  </si>
  <si>
    <t>02/02/2024 at 03:13:37 UTC</t>
  </si>
  <si>
    <t>PickPoint</t>
  </si>
  <si>
    <t>11/22/2023 at 14:50:52 UTC</t>
  </si>
  <si>
    <t>05/01/2024 at 19:32:12 UTC</t>
  </si>
  <si>
    <t>Intrigma</t>
  </si>
  <si>
    <t>Cartegraph</t>
  </si>
  <si>
    <t>Invotech</t>
  </si>
  <si>
    <t>03/01/2024 at 00:55:44 UTC</t>
  </si>
  <si>
    <t>IOPI Medical</t>
  </si>
  <si>
    <t>12/14/2023 at 21:56:35 UTC</t>
  </si>
  <si>
    <t>04/19/2024 at 03:49:18 UTC</t>
  </si>
  <si>
    <t>iRound for Patient Experience</t>
  </si>
  <si>
    <t>ISGUS</t>
  </si>
  <si>
    <t>Ivoclar Vivaden</t>
  </si>
  <si>
    <t>11/28/2023 at 16:50:18 UTC</t>
  </si>
  <si>
    <t>Jagacy Software</t>
  </si>
  <si>
    <t>Morrow Technologies Corporation, JANUS Displays</t>
  </si>
  <si>
    <t>Jongo</t>
  </si>
  <si>
    <t>Hartgen Consultancy</t>
  </si>
  <si>
    <t>Kardex Remstar</t>
  </si>
  <si>
    <t>Joachim Eibl</t>
  </si>
  <si>
    <t>Kiali</t>
  </si>
  <si>
    <t>LABLION</t>
  </si>
  <si>
    <t>06/18/2024 at 21:36:01 UTC</t>
  </si>
  <si>
    <t>11/04/2022 at 01:37:18 UTC</t>
  </si>
  <si>
    <t>Leukobyte</t>
  </si>
  <si>
    <t>03/27/2024 at 02:56:31 UTC</t>
  </si>
  <si>
    <t>EXL</t>
  </si>
  <si>
    <t>Joseph Albahari</t>
  </si>
  <si>
    <t>08/27/2024 at 15:33:08 UTC</t>
  </si>
  <si>
    <t>08/27/2024 at 15:32:58 UTC</t>
  </si>
  <si>
    <t>08/27/2024 at 15:32:47 UTC</t>
  </si>
  <si>
    <t>08/27/2024 at 15:32:33 UTC</t>
  </si>
  <si>
    <t>08/27/2024 at 15:32:11 UTC</t>
  </si>
  <si>
    <t>08/27/2024 at 15:32:00 UTC</t>
  </si>
  <si>
    <t>08/27/2024 at 15:31:26 UTC</t>
  </si>
  <si>
    <t>07/24/2024 at 04:25:17 UTC</t>
  </si>
  <si>
    <t>Crossmatch Technologies</t>
  </si>
  <si>
    <t>02/14/2023 at 03:11:06 UTC</t>
  </si>
  <si>
    <t>Locust</t>
  </si>
  <si>
    <t>04/24/2024 at 18:26:59 UTC</t>
  </si>
  <si>
    <t>Krames</t>
  </si>
  <si>
    <t>12/06/2022 at 02:46:56 UTC</t>
  </si>
  <si>
    <t>Supco</t>
  </si>
  <si>
    <t>LogTag Recorders</t>
  </si>
  <si>
    <t>INVENTIS SRL</t>
  </si>
  <si>
    <t>MaxQ</t>
  </si>
  <si>
    <t>03/31/2023 at 19:03:18 UTC</t>
  </si>
  <si>
    <t>Promega</t>
  </si>
  <si>
    <t>02/23/2024 at 14:30:41 UTC</t>
  </si>
  <si>
    <t>Brunner BI (Business Intelligence)</t>
  </si>
  <si>
    <t>11/07/2024 at 19:30:47 UTC</t>
  </si>
  <si>
    <t>School of Biomedical Informatics, The University of Texas Health Science Center at Houston</t>
  </si>
  <si>
    <t>Cable Time (MediaStar)</t>
  </si>
  <si>
    <t>02/27/2024 at 03:42:59 UTC</t>
  </si>
  <si>
    <t>11/01/2022 at 02:20:49 UTC</t>
  </si>
  <si>
    <t>American College of Physicians</t>
  </si>
  <si>
    <t>Medicalis Corporation</t>
  </si>
  <si>
    <t>Medicity</t>
  </si>
  <si>
    <t>11/14/2022 at 17:43:06 UTC</t>
  </si>
  <si>
    <t>Lattice Solutions</t>
  </si>
  <si>
    <t>Open Health Natural Language Processing Consortium (OHNLP)</t>
  </si>
  <si>
    <t>05/09/2024 at 19:08:28 UTC</t>
  </si>
  <si>
    <t>Merative</t>
  </si>
  <si>
    <t>Metabase</t>
  </si>
  <si>
    <t>10/03/2022 at 18:22:14 UTC</t>
  </si>
  <si>
    <t>iMDSoft</t>
  </si>
  <si>
    <t>09/16/2022 at 19:27:21 UTC</t>
  </si>
  <si>
    <t>03/07/2024 at 02:26:06 UTC</t>
  </si>
  <si>
    <t>04/10/2024 at 17:17:10 UTC</t>
  </si>
  <si>
    <t>10/30/2024 at 15:24:39 UTC</t>
  </si>
  <si>
    <t>09/30/2022 at 16:17:23 UTC</t>
  </si>
  <si>
    <t>02/23/2024 at 14:30:55 UTC</t>
  </si>
  <si>
    <t>Mobile Heartbeat Clinical Communications</t>
  </si>
  <si>
    <t>GearBox Computers</t>
  </si>
  <si>
    <t>05/10/2024 at 16:22:51 UTC</t>
  </si>
  <si>
    <t>SW103</t>
  </si>
  <si>
    <t>TechMed3D</t>
  </si>
  <si>
    <t>Flint Rehab</t>
  </si>
  <si>
    <t>05/01/2024 at 19:32:17 UTC</t>
  </si>
  <si>
    <t>02/06/2019 at 09:44:49 UTC</t>
  </si>
  <si>
    <t>Ncover</t>
  </si>
  <si>
    <t>09/20/2022 at 17:58:35 UTC</t>
  </si>
  <si>
    <t>01/03/2024 at 04:39:53 UTC</t>
  </si>
  <si>
    <t>ClearApps</t>
  </si>
  <si>
    <t>02/12/2024 at 20:36:33 UTC</t>
  </si>
  <si>
    <t>Eventide</t>
  </si>
  <si>
    <t>10/17/2023 at 15:39:17 UTC</t>
  </si>
  <si>
    <t>Remy Sharp</t>
  </si>
  <si>
    <t>09/26/2022 at 02:04:24 UTC</t>
  </si>
  <si>
    <t>Nordic Neuro Lab</t>
  </si>
  <si>
    <t>03/27/2024 at 01:49:34 UTC</t>
  </si>
  <si>
    <t>Nova Biomedical</t>
  </si>
  <si>
    <t>NuTrace</t>
  </si>
  <si>
    <t>09/26/2023 at 16:51:06 UTC</t>
  </si>
  <si>
    <t>Axxya Systems</t>
  </si>
  <si>
    <t>10/31/2022 at 02:31:55 UTC</t>
  </si>
  <si>
    <t>InvisAlert Solutions</t>
  </si>
  <si>
    <t>09/21/2022 at 02:03:57 UTC</t>
  </si>
  <si>
    <t>The ScottCare Corporation</t>
  </si>
  <si>
    <t>11/20/2023 at 13:27:50 UTC</t>
  </si>
  <si>
    <t>Opticon USA</t>
  </si>
  <si>
    <t>Optivision</t>
  </si>
  <si>
    <t>11/14/2023 at 14:04:00 UTC</t>
  </si>
  <si>
    <t>Bioinformatics Laboratory, University of Ljubljana</t>
  </si>
  <si>
    <t>Kelverion</t>
  </si>
  <si>
    <t>Pixmeo SARL</t>
  </si>
  <si>
    <t>10/14/2024 at 01:23:17 UTC</t>
  </si>
  <si>
    <t>04/11/2023 at 02:19:07 UTC</t>
  </si>
  <si>
    <t>New House Internet Services BV</t>
  </si>
  <si>
    <t>12/06/2022 at 02:46:55 UTC</t>
  </si>
  <si>
    <t>Radiation and Nuclear Safety Authority of Finland (STUK)</t>
  </si>
  <si>
    <t>PedAlign Holdings, Inc</t>
  </si>
  <si>
    <t>09/21/2022 at 02:03:47 UTC</t>
  </si>
  <si>
    <t>Oculus</t>
  </si>
  <si>
    <t>Dialogic</t>
  </si>
  <si>
    <t>05/22/2024 at 16:15:15 UTC</t>
  </si>
  <si>
    <t>Getcomposer</t>
  </si>
  <si>
    <t>12/12/2023 at 14:27:57 UTC</t>
  </si>
  <si>
    <t>Kyocera</t>
  </si>
  <si>
    <t>Pyramid Innovation</t>
  </si>
  <si>
    <t>Planview</t>
  </si>
  <si>
    <t>09/28/2022 at 01:10:05 UTC</t>
  </si>
  <si>
    <t>Plexis Healthcare Systems</t>
  </si>
  <si>
    <t>Sperry Software</t>
  </si>
  <si>
    <t>01/25/2024 at 23:26:34 UTC</t>
  </si>
  <si>
    <t>Astute Imaging,</t>
  </si>
  <si>
    <t>Advantive</t>
  </si>
  <si>
    <t>01/30/2024 at 01:10:35 UTC</t>
  </si>
  <si>
    <t>ProIRB</t>
  </si>
  <si>
    <t>Marquis Broadcast</t>
  </si>
  <si>
    <t>Process Mining Group</t>
  </si>
  <si>
    <t>04/01/2024 at 02:09:04 UTC</t>
  </si>
  <si>
    <t>10/11/2022 at 17:36:17 UTC</t>
  </si>
  <si>
    <t>Myers InfoSys</t>
  </si>
  <si>
    <t>InTouch Health</t>
  </si>
  <si>
    <t>Pyramid Time</t>
  </si>
  <si>
    <t>02/02/2024 at 03:13:40 UTC</t>
  </si>
  <si>
    <t>Pytorch</t>
  </si>
  <si>
    <t>01/31/2023 at 03:11:06 UTC</t>
  </si>
  <si>
    <t>06/21/2024 at 22:00:41 UTC</t>
  </si>
  <si>
    <t>QualCoder Developer</t>
  </si>
  <si>
    <t>02/08/2024 at 15:41:49 UTC</t>
  </si>
  <si>
    <t>QualityMetric</t>
  </si>
  <si>
    <t>TSG Innovations</t>
  </si>
  <si>
    <t>RapidAI</t>
  </si>
  <si>
    <t>Discount Two Way Radio</t>
  </si>
  <si>
    <t>Rclone</t>
  </si>
  <si>
    <t>10/26/2023 at 19:18:40 UTC</t>
  </si>
  <si>
    <t>frenzs</t>
  </si>
  <si>
    <t>Siemens Medical Solutions USA</t>
  </si>
  <si>
    <t>02/16/2024 at 17:19:59 UTC</t>
  </si>
  <si>
    <t>Cockos</t>
  </si>
  <si>
    <t>Unlimited Technologies</t>
  </si>
  <si>
    <t>Travis CI, GmbH</t>
  </si>
  <si>
    <t>09/26/2022 at 02:04:19 UTC</t>
  </si>
  <si>
    <t>Reliable Health Systems, LLC</t>
  </si>
  <si>
    <t>05/07/2024 at 03:25:19 UTC</t>
  </si>
  <si>
    <t>Nevrona Designs</t>
  </si>
  <si>
    <t>02/05/2024 at 18:07:34 UTC</t>
  </si>
  <si>
    <t>PureWeb</t>
  </si>
  <si>
    <t>AMA</t>
  </si>
  <si>
    <t>02/25/2019 at 10:52:33 UTC</t>
  </si>
  <si>
    <t>Richard Heyes</t>
  </si>
  <si>
    <t>09/28/2022 at 01:40:52 UTC</t>
  </si>
  <si>
    <t>11/27/2024 at 00:54:36 UTC</t>
  </si>
  <si>
    <t>Optronics</t>
  </si>
  <si>
    <t>RMTrack</t>
  </si>
  <si>
    <t>10/10/2022 at 16:49:10 UTC</t>
  </si>
  <si>
    <t>Psychological Assessment Resources</t>
  </si>
  <si>
    <t>03/06/2023 at 20:04:06 UTC</t>
  </si>
  <si>
    <t>Roxio</t>
  </si>
  <si>
    <t>11/20/2024 at 14:40:17 UTC</t>
  </si>
  <si>
    <t>Gordian</t>
  </si>
  <si>
    <t>04/04/2024 at 15:40:26 UTC</t>
  </si>
  <si>
    <t>Eitan Medical</t>
  </si>
  <si>
    <t>05/03/2023 at 16:52:54 UTC</t>
  </si>
  <si>
    <t>04/04/2024 at 03:11:04 UTC</t>
  </si>
  <si>
    <t>Scanmarker</t>
  </si>
  <si>
    <t>12/09/2022 at 20:11:13 UTC</t>
  </si>
  <si>
    <t>11/20/2023 at 13:27:54 UTC</t>
  </si>
  <si>
    <t>Gene Codes Corporation</t>
  </si>
  <si>
    <t>02/23/2024 at 14:30:56 UTC</t>
  </si>
  <si>
    <t>10/25/2022 at 19:18:11 UTC</t>
  </si>
  <si>
    <t>Western Psychological Services</t>
  </si>
  <si>
    <t>10/10/2022 at 20:11:51 UTC</t>
  </si>
  <si>
    <t>Four Points Technology, LLC</t>
  </si>
  <si>
    <t>09/21/2022 at 02:03:46 UTC</t>
  </si>
  <si>
    <t>08/27/2024 at 02:03:00 UTC</t>
  </si>
  <si>
    <t>SimpleNLP</t>
  </si>
  <si>
    <t>SimX</t>
  </si>
  <si>
    <t>11/26/2022 at 01:18:26 UTC</t>
  </si>
  <si>
    <t>Bohemian Coding</t>
  </si>
  <si>
    <t>12/20/2022 at 21:00:40 UTC</t>
  </si>
  <si>
    <t>SmartBuilder</t>
  </si>
  <si>
    <t>Smile Digital Health</t>
  </si>
  <si>
    <t>10/26/2023 at 16:23:54 UTC</t>
  </si>
  <si>
    <t>Somnoware</t>
  </si>
  <si>
    <t>Crystal Clear Technologies</t>
  </si>
  <si>
    <t>Spectralink</t>
  </si>
  <si>
    <t>12/22/2023 at 20:39:05 UTC</t>
  </si>
  <si>
    <t>Madonna Rehabilitation Services</t>
  </si>
  <si>
    <t>10/13/2022 at 21:20:19 UTC</t>
  </si>
  <si>
    <t>AtCor Medical</t>
  </si>
  <si>
    <t>N software</t>
  </si>
  <si>
    <t>Abbott Informatics</t>
  </si>
  <si>
    <t>03/01/2023 at 22:30:31 UTC</t>
  </si>
  <si>
    <t>04/16/2024 at 15:43:02 UTC</t>
  </si>
  <si>
    <t>01/18/2024 at 17:17:22 UTC</t>
  </si>
  <si>
    <t>Quantum</t>
  </si>
  <si>
    <t>KARL STORZ Endoscopy</t>
  </si>
  <si>
    <t>SUGARfx</t>
  </si>
  <si>
    <t>06/18/2024 at 21:37:09 UTC</t>
  </si>
  <si>
    <t>SwissPhone</t>
  </si>
  <si>
    <t>Airbnb Engineering</t>
  </si>
  <si>
    <t>2BrightSparks</t>
  </si>
  <si>
    <t>Outset Medical</t>
  </si>
  <si>
    <t>12/15/2023 at 19:32:47 UTC</t>
  </si>
  <si>
    <t>Tango Tango</t>
  </si>
  <si>
    <t>04/12/2024 at 16:24:16 UTC</t>
  </si>
  <si>
    <t>TEKLYNX</t>
  </si>
  <si>
    <t>10/04/2024 at 20:50:57 UTC</t>
  </si>
  <si>
    <t>TELCOR</t>
  </si>
  <si>
    <t>ITD Food Safety</t>
  </si>
  <si>
    <t>11/20/2024 at 14:40:20 UTC</t>
  </si>
  <si>
    <t>SensiTech</t>
  </si>
  <si>
    <t>Center for Casual Discovery</t>
  </si>
  <si>
    <t>The Orthotic Group</t>
  </si>
  <si>
    <t>Thermopatch</t>
  </si>
  <si>
    <t>Salt Creek Software</t>
  </si>
  <si>
    <t>a-tune software AG</t>
  </si>
  <si>
    <t>ViewPlus</t>
  </si>
  <si>
    <t>TeleHealth Services</t>
  </si>
  <si>
    <t>03/14/2024 at 15:09:24 UTC</t>
  </si>
  <si>
    <t>06/18/2024 at 21:37:14 UTC</t>
  </si>
  <si>
    <t>Tobii Technology</t>
  </si>
  <si>
    <t>DHS Worldwide</t>
  </si>
  <si>
    <t>Panic</t>
  </si>
  <si>
    <t>11/20/2024 at 14:40:18 UTC</t>
  </si>
  <si>
    <t>pCare</t>
  </si>
  <si>
    <t>Access Solutions Inc</t>
  </si>
  <si>
    <t>08/29/2024 at 15:54:48 UTC</t>
  </si>
  <si>
    <t>Turner Scientific</t>
  </si>
  <si>
    <t>01/30/2024 at 01:11:40 UTC</t>
  </si>
  <si>
    <t>Two Dimensional Instruments, LLC (2di)</t>
  </si>
  <si>
    <t>05/09/2024 at 19:08:23 UTC</t>
  </si>
  <si>
    <t>03/20/2024 at 02:23:22 UTC</t>
  </si>
  <si>
    <t>Analytic Technologies</t>
  </si>
  <si>
    <t>12/06/2022 at 02:46:51 UTC</t>
  </si>
  <si>
    <t>09/21/2022 at 02:03:42 UTC</t>
  </si>
  <si>
    <t>01/18/2024 at 02:53:40 UTC</t>
  </si>
  <si>
    <t>05/20/2024 at 17:25:06 UTC</t>
  </si>
  <si>
    <t>US Monitoring, INC</t>
  </si>
  <si>
    <t>11/29/2022 at 17:19:09 UTC</t>
  </si>
  <si>
    <t>New York State Department of Health</t>
  </si>
  <si>
    <t>Vertical LLC</t>
  </si>
  <si>
    <t>03/20/2023 at 16:29:08 UTC</t>
  </si>
  <si>
    <t>Euclid Medical Products</t>
  </si>
  <si>
    <t>VeriFone, Inc</t>
  </si>
  <si>
    <t>Vicon</t>
  </si>
  <si>
    <t>OSEHRA</t>
  </si>
  <si>
    <t>ST Imaging</t>
  </si>
  <si>
    <t>01/18/2024 at 02:54:01 UTC</t>
  </si>
  <si>
    <t>07/19/2024 at 16:33:50 UTC</t>
  </si>
  <si>
    <t>07/15/2024 at 19:06:07 UTC</t>
  </si>
  <si>
    <t>C-Motion</t>
  </si>
  <si>
    <t>VitalSource</t>
  </si>
  <si>
    <t>01/03/2024 at 04:39:55 UTC</t>
  </si>
  <si>
    <t>Vital Images</t>
  </si>
  <si>
    <t>11/28/2022 at 02:39:50 UTC</t>
  </si>
  <si>
    <t>09/16/2022 at 16:45:25 UTC</t>
  </si>
  <si>
    <t>VoiceTeach LLC</t>
  </si>
  <si>
    <t>Vonage</t>
  </si>
  <si>
    <t>Avidity</t>
  </si>
  <si>
    <t>FHC</t>
  </si>
  <si>
    <t>04/23/2024 at 16:39:04 UTC</t>
  </si>
  <si>
    <t>Exact Imaging</t>
  </si>
  <si>
    <t>01/18/2024 at 18:39:02 UTC</t>
  </si>
  <si>
    <t>Juvare</t>
  </si>
  <si>
    <t>Webpack</t>
  </si>
  <si>
    <t>02/24/2023 at 03:36:13 UTC</t>
  </si>
  <si>
    <t>Wellspring Worldwide</t>
  </si>
  <si>
    <t>03/13/2023 at 16:47:56 UTC</t>
  </si>
  <si>
    <t>Westat</t>
  </si>
  <si>
    <t>11/20/2024 at 02:55:57 UTC</t>
  </si>
  <si>
    <t>Verity Software House</t>
  </si>
  <si>
    <t>Winscribe</t>
  </si>
  <si>
    <t>11/26/2022 at 00:53:41 UTC</t>
  </si>
  <si>
    <t>WoundVision</t>
  </si>
  <si>
    <t>03/27/2024 at 02:56:34 UTC</t>
  </si>
  <si>
    <t>Xmind</t>
  </si>
  <si>
    <t>11/10/2022 at 22:26:20 UTC</t>
  </si>
  <si>
    <t>RecordEx</t>
  </si>
  <si>
    <t>11/28/2022 at 03:15:58 UTC</t>
  </si>
  <si>
    <t>03/08/2023 at 04:43:39 UTC</t>
  </si>
  <si>
    <t>Zello</t>
  </si>
  <si>
    <t>10/10/2024 at 18:03:53 UTC</t>
  </si>
  <si>
    <t>AnyLogic Company</t>
  </si>
  <si>
    <t>11/28/2018 at 07:50:07 UTC</t>
  </si>
  <si>
    <t>AT&amp;T</t>
  </si>
  <si>
    <t>05/24/2024 at 16:49:04 UTC</t>
  </si>
  <si>
    <t>Reallusion</t>
  </si>
  <si>
    <t>11/02/2022 at 04:10:24 UTC</t>
  </si>
  <si>
    <t>The GNOME Project</t>
  </si>
  <si>
    <t>Nova Metrix LLC</t>
  </si>
  <si>
    <t>05/14/2020 at 14:24:07 UTC</t>
  </si>
  <si>
    <t>02/12/2024 at 20:36:26 UTC</t>
  </si>
  <si>
    <t>11/25/2024 at 18:02:52 UTC</t>
  </si>
  <si>
    <t>DeBugBar</t>
  </si>
  <si>
    <t>01/27/2020 at 11:57:23 UTC</t>
  </si>
  <si>
    <t>ImgBurn</t>
  </si>
  <si>
    <t>04/11/2023 at 02:19:02 UTC</t>
  </si>
  <si>
    <t>Intelligent Recording</t>
  </si>
  <si>
    <t>03/13/2023 at 16:47:58 UTC</t>
  </si>
  <si>
    <t>BK Technologies</t>
  </si>
  <si>
    <t>10/07/2022 at 02:21:49 UTC</t>
  </si>
  <si>
    <t>Jolly Technologies Inc</t>
  </si>
  <si>
    <t>11/19/2020 at 15:53:51 UTC</t>
  </si>
  <si>
    <t>03/13/2023 at 16:47:59 UTC</t>
  </si>
  <si>
    <t>OpenBUGS</t>
  </si>
  <si>
    <t>Insperity</t>
  </si>
  <si>
    <t>01/14/2020 at 21:26:24 UTC</t>
  </si>
  <si>
    <t>ANIXIS</t>
  </si>
  <si>
    <t>Medium</t>
  </si>
  <si>
    <t>InterWorks</t>
  </si>
  <si>
    <t>08/10/2021 at 01:50:39 UTC</t>
  </si>
  <si>
    <t>Wulfsoft</t>
  </si>
  <si>
    <t>Vanderbilt University Department of Biostatistics</t>
  </si>
  <si>
    <t>Retrospect, Inc</t>
  </si>
  <si>
    <t>03/07/2024 at 02:32:35 UTC</t>
  </si>
  <si>
    <t>Chris Bagwell</t>
  </si>
  <si>
    <t>TapeCalc</t>
  </si>
  <si>
    <t>02/05/2020 at 16:39:29 UTC</t>
  </si>
  <si>
    <t>WinMerge</t>
  </si>
  <si>
    <t>02/14/2024 at 03:14:26 UTC</t>
  </si>
  <si>
    <t>Beehive Innovations</t>
  </si>
  <si>
    <t>06/14/2019 at 06:24:33 UTC</t>
  </si>
  <si>
    <t>3CX</t>
  </si>
  <si>
    <t>DearMob, INC</t>
  </si>
  <si>
    <t>03/31/2023 at 18:01:32 UTC</t>
  </si>
  <si>
    <t>Rob Latour</t>
  </si>
  <si>
    <t>05/19/2021 at 08:47:50 UTC</t>
  </si>
  <si>
    <t>Johnson &amp; Johnson MedTech</t>
  </si>
  <si>
    <t>09/26/2024 at 17:51:02 UTC</t>
  </si>
  <si>
    <t>Ableton</t>
  </si>
  <si>
    <t>10/05/2020 at 22:41:33 UTC</t>
  </si>
  <si>
    <t>Celestial Software</t>
  </si>
  <si>
    <t>03/12/2020 at 15:22:40 UTC</t>
  </si>
  <si>
    <t>International Organization for Standardization (ISO)</t>
  </si>
  <si>
    <t>05/07/2024 at 03:25:26 UTC</t>
  </si>
  <si>
    <t>07/16/2019 at 10:40:42 UTC</t>
  </si>
  <si>
    <t>07/15/2020 at 10:46:33 UTC</t>
  </si>
  <si>
    <t>Actual Tools</t>
  </si>
  <si>
    <t>07/12/2019 at 13:41:53 UTC</t>
  </si>
  <si>
    <t>04/17/2023 at 16:02:59 UTC</t>
  </si>
  <si>
    <t>08/10/2022 at 17:53:18 UTC</t>
  </si>
  <si>
    <t>GetAdBlock</t>
  </si>
  <si>
    <t>04/13/2023 at 18:10:02 UTC</t>
  </si>
  <si>
    <t>Adium Team</t>
  </si>
  <si>
    <t>06/11/2019 at 08:15:58 UTC</t>
  </si>
  <si>
    <t>04/27/2023 at 17:17:45 UTC</t>
  </si>
  <si>
    <t>03/11/2024 at 14:14:32 UTC</t>
  </si>
  <si>
    <t>08/23/2019 at 14:08:38 UTC</t>
  </si>
  <si>
    <t>03/30/2023 at 19:17:57 UTC</t>
  </si>
  <si>
    <t>04/11/2023 at 02:18:56 UTC</t>
  </si>
  <si>
    <t>12/02/2024 at 22:51:12 UTC</t>
  </si>
  <si>
    <t>08/31/2020 at 15:04:05 UTC</t>
  </si>
  <si>
    <t>10/18/2022 at 16:18:06 UTC</t>
  </si>
  <si>
    <t>Ascertia</t>
  </si>
  <si>
    <t>Adxstudio</t>
  </si>
  <si>
    <t>04/16/2019 at 07:59:17 UTC</t>
  </si>
  <si>
    <t>Affinity</t>
  </si>
  <si>
    <t>Aidoc</t>
  </si>
  <si>
    <t>07/05/2023 at 17:22:06 UTC</t>
  </si>
  <si>
    <t>11/27/2019 at 16:17:45 UTC</t>
  </si>
  <si>
    <t>Alcatel-Lucent Enterprise</t>
  </si>
  <si>
    <t>04/21/2020 at 11:20:01 UTC</t>
  </si>
  <si>
    <t>05/27/2021 at 18:50:42 UTC</t>
  </si>
  <si>
    <t>02/22/2023 at 19:05:53 UTC</t>
  </si>
  <si>
    <t>MTSD Company</t>
  </si>
  <si>
    <t>03/14/2024 at 15:08:47 UTC</t>
  </si>
  <si>
    <t>08/26/2022 at 00:36:44 UTC</t>
  </si>
  <si>
    <t>Zmanda</t>
  </si>
  <si>
    <t>08/28/2019 at 16:01:50 UTC</t>
  </si>
  <si>
    <t>05/24/2024 at 16:49:09 UTC</t>
  </si>
  <si>
    <t>AMCHARTS</t>
  </si>
  <si>
    <t>05/22/2024 at 16:13:15 UTC</t>
  </si>
  <si>
    <t>Gary King</t>
  </si>
  <si>
    <t>01/03/2025 at 16:17:49 UTC</t>
  </si>
  <si>
    <t>Ammyy</t>
  </si>
  <si>
    <t>04/14/2023 at 02:14:05 UTC</t>
  </si>
  <si>
    <t>Analyse-It</t>
  </si>
  <si>
    <t>Geotech</t>
  </si>
  <si>
    <t>10/26/2020 at 08:21:09 UTC</t>
  </si>
  <si>
    <t>Strategy Companion Corporation</t>
  </si>
  <si>
    <t>04/04/2024 at 15:40:27 UTC</t>
  </si>
  <si>
    <t>Anton Keks</t>
  </si>
  <si>
    <t>05/31/2019 at 11:11:34 UTC</t>
  </si>
  <si>
    <t>AnyMeeting</t>
  </si>
  <si>
    <t>AOMEI Technology</t>
  </si>
  <si>
    <t>09/29/2021 at 02:07:34 UTC</t>
  </si>
  <si>
    <t>03/07/2023 at 14:00:08 UTC</t>
  </si>
  <si>
    <t>09/24/2020 at 10:30:46 UTC</t>
  </si>
  <si>
    <t>10/05/2020 at 22:41:35 UTC</t>
  </si>
  <si>
    <t>12/21/2021 at 22:14:50 UTC</t>
  </si>
  <si>
    <t>09/10/2019 at 07:59:35 UTC</t>
  </si>
  <si>
    <t>06/14/2019 at 06:24:23 UTC</t>
  </si>
  <si>
    <t>09/07/2022 at 03:32:15 UTC</t>
  </si>
  <si>
    <t>Appium</t>
  </si>
  <si>
    <t>06/27/2019 at 12:47:40 UTC</t>
  </si>
  <si>
    <t>08/13/2019 at 12:32:09 UTC</t>
  </si>
  <si>
    <t>02/22/2024 at 03:38:27 UTC</t>
  </si>
  <si>
    <t>New Relic</t>
  </si>
  <si>
    <t>03/14/2024 at 16:03:42 UTC</t>
  </si>
  <si>
    <t>Aquamacs</t>
  </si>
  <si>
    <t>01/25/2024 at 23:26:12 UTC</t>
  </si>
  <si>
    <t>Other World Computing</t>
  </si>
  <si>
    <t>ArtRage</t>
  </si>
  <si>
    <t>04/13/2023 at 18:10:01 UTC</t>
  </si>
  <si>
    <t>Aurea</t>
  </si>
  <si>
    <t>02/28/2021 at 22:04:19 UTC</t>
  </si>
  <si>
    <t>Auth0</t>
  </si>
  <si>
    <t>05/16/2019 at 11:23:58 UTC</t>
  </si>
  <si>
    <t>Y Soft Corporation</t>
  </si>
  <si>
    <t>Daanav Softwares</t>
  </si>
  <si>
    <t>03/27/2023 at 02:34:34 UTC</t>
  </si>
  <si>
    <t>AutoIt Consulting</t>
  </si>
  <si>
    <t>03/13/2024 at 17:14:08 UTC</t>
  </si>
  <si>
    <t>HC3</t>
  </si>
  <si>
    <t>10/31/2024 at 16:36:00 UTC</t>
  </si>
  <si>
    <t>AutoSPRINK</t>
  </si>
  <si>
    <t>12/30/2021 at 19:48:47 UTC</t>
  </si>
  <si>
    <t>03/14/2024 at 16:03:50 UTC</t>
  </si>
  <si>
    <t>06/18/2019 at 14:30:02 UTC</t>
  </si>
  <si>
    <t>09/28/2020 at 10:28:11 UTC</t>
  </si>
  <si>
    <t>AxioWorks</t>
  </si>
  <si>
    <t>01/22/2021 at 08:11:44 UTC</t>
  </si>
  <si>
    <t>03/14/2024 at 16:03:56 UTC</t>
  </si>
  <si>
    <t>Azz Cardfile</t>
  </si>
  <si>
    <t>06/19/2020 at 10:39:50 UTC</t>
  </si>
  <si>
    <t>03/16/2023 at 03:46:32 UTC</t>
  </si>
  <si>
    <t>Bacula Systems</t>
  </si>
  <si>
    <t>08/14/2019 at 15:05:39 UTC</t>
  </si>
  <si>
    <t>Brad Barnhill</t>
  </si>
  <si>
    <t>Bare Metal Software</t>
  </si>
  <si>
    <t>10/16/2024 at 13:10:09 UTC</t>
  </si>
  <si>
    <t>Mountain</t>
  </si>
  <si>
    <t>Basecamp</t>
  </si>
  <si>
    <t>04/01/2019 at 07:55:23 UTC</t>
  </si>
  <si>
    <t>02/07/2024 at 18:08:36 UTC</t>
  </si>
  <si>
    <t>Ryan Boyd</t>
  </si>
  <si>
    <t>03/01/2024 at 02:18:30 UTC</t>
  </si>
  <si>
    <t>03/07/2024 at 02:25:09 UTC</t>
  </si>
  <si>
    <t>GoBe Robots</t>
  </si>
  <si>
    <t>02/16/2024 at 17:20:01 UTC</t>
  </si>
  <si>
    <t>Pejobo</t>
  </si>
  <si>
    <t>Crummy</t>
  </si>
  <si>
    <t>03/08/2023 at 04:43:32 UTC</t>
  </si>
  <si>
    <t>Berkshelf Core Team</t>
  </si>
  <si>
    <t>04/29/2020 at 11:29:28 UTC</t>
  </si>
  <si>
    <t>10/25/2022 at 19:18:07 UTC</t>
  </si>
  <si>
    <t>Andreas Hegenberg</t>
  </si>
  <si>
    <t>02/16/2023 at 18:15:05 UTC</t>
  </si>
  <si>
    <t>Bitvise</t>
  </si>
  <si>
    <t>06/27/2019 at 12:47:45 UTC</t>
  </si>
  <si>
    <t>06/11/2019 at 08:15:59 UTC</t>
  </si>
  <si>
    <t>05/16/2019 at 11:24:05 UTC</t>
  </si>
  <si>
    <t>Blender Foundation</t>
  </si>
  <si>
    <t>12/28/2023 at 20:12:13 UTC</t>
  </si>
  <si>
    <t>Code Blue</t>
  </si>
  <si>
    <t>01/18/2024 at 02:49:51 UTC</t>
  </si>
  <si>
    <t>Blue Jeans Network</t>
  </si>
  <si>
    <t>Verizon</t>
  </si>
  <si>
    <t>07/25/2024 at 14:43:02 UTC</t>
  </si>
  <si>
    <t>BlueStacks</t>
  </si>
  <si>
    <t>09/04/2020 at 09:14:07 UTC</t>
  </si>
  <si>
    <t>Waterfield</t>
  </si>
  <si>
    <t>04/16/2024 at 15:23:38 UTC</t>
  </si>
  <si>
    <t>Boomerang</t>
  </si>
  <si>
    <t>06/06/2024 at 16:17:42 UTC</t>
  </si>
  <si>
    <t>03/16/2021 at 15:23:38 UTC</t>
  </si>
  <si>
    <t>Kinoka Minolta</t>
  </si>
  <si>
    <t>SQLBI</t>
  </si>
  <si>
    <t>10/07/2024 at 22:22:08 UTC</t>
  </si>
  <si>
    <t>01/06/2022 at 01:03:40 UTC</t>
  </si>
  <si>
    <t>03/14/2024 at 16:04:04 UTC</t>
  </si>
  <si>
    <t>08/21/2020 at 13:26:17 UTC</t>
  </si>
  <si>
    <t>01/11/2024 at 17:00:40 UTC</t>
  </si>
  <si>
    <t>03/14/2024 at 16:04:06 UTC</t>
  </si>
  <si>
    <t>bzip</t>
  </si>
  <si>
    <t>10/31/2024 at 16:35:55 UTC</t>
  </si>
  <si>
    <t>ECMA</t>
  </si>
  <si>
    <t>02/12/2024 at 16:52:01 UTC</t>
  </si>
  <si>
    <t>10/31/2024 at 16:35:56 UTC</t>
  </si>
  <si>
    <t>07/12/2019 at 13:42:16 UTC</t>
  </si>
  <si>
    <t>04/10/2024 at 17:16:55 UTC</t>
  </si>
  <si>
    <t>02/02/2023 at 18:46:45 UTC</t>
  </si>
  <si>
    <t>02/06/2024 at 02:01:11 UTC</t>
  </si>
  <si>
    <t>09/23/2024 at 17:31:17 UTC</t>
  </si>
  <si>
    <t>11/26/2024 at 15:08:18 UTC</t>
  </si>
  <si>
    <t>CapsoVision</t>
  </si>
  <si>
    <t>Carbonite</t>
  </si>
  <si>
    <t>03/27/2023 at 02:34:33 UTC</t>
  </si>
  <si>
    <t>NAPCO Security</t>
  </si>
  <si>
    <t>08/23/2019 at 14:08:32 UTC</t>
  </si>
  <si>
    <t>Carestream Dental</t>
  </si>
  <si>
    <t>Tightrope Media Systems</t>
  </si>
  <si>
    <t>01/25/2024 at 01:33:36 UTC</t>
  </si>
  <si>
    <t>Case IQ</t>
  </si>
  <si>
    <t>CaseGuard</t>
  </si>
  <si>
    <t>Casella Solutions</t>
  </si>
  <si>
    <t>Casepoint</t>
  </si>
  <si>
    <t>04/10/2024 at 02:06:04 UTC</t>
  </si>
  <si>
    <t>The CentOS Project</t>
  </si>
  <si>
    <t>10/25/2022 at 00:16:07 UTC</t>
  </si>
  <si>
    <t>09/26/2019 at 19:00:50 UTC</t>
  </si>
  <si>
    <t>Cewolf</t>
  </si>
  <si>
    <t>Department of Veterans Affairs, OIT Enterprise Program Management Office</t>
  </si>
  <si>
    <t>11/01/2018 at 06:50:03 UTC</t>
  </si>
  <si>
    <t>Cinta Software</t>
  </si>
  <si>
    <t>08/31/2022 at 02:18:54 UTC</t>
  </si>
  <si>
    <t>10/19/2022 at 16:51:03 UTC</t>
  </si>
  <si>
    <t>07/23/2019 at 12:07:55 UTC</t>
  </si>
  <si>
    <t>10/06/2021 at 02:05:26 UTC</t>
  </si>
  <si>
    <t>03/13/2023 at 16:47:51 UTC</t>
  </si>
  <si>
    <t>04/20/2020 at 22:42:32 UTC</t>
  </si>
  <si>
    <t>07/23/2019 at 12:08:01 UTC</t>
  </si>
  <si>
    <t>07/09/2019 at 07:53:43 UTC</t>
  </si>
  <si>
    <t>08/21/2019 at 07:10:47 UTC</t>
  </si>
  <si>
    <t>03/14/2024 at 16:04:20 UTC</t>
  </si>
  <si>
    <t>08/13/2019 at 12:32:12 UTC</t>
  </si>
  <si>
    <t>10/23/2024 at 01:31:27 UTC</t>
  </si>
  <si>
    <t>08/21/2019 at 07:10:48 UTC</t>
  </si>
  <si>
    <t>10/21/2020 at 09:20:24 UTC</t>
  </si>
  <si>
    <t>09/29/2022 at 16:40:24 UTC</t>
  </si>
  <si>
    <t>Chris Lattner</t>
  </si>
  <si>
    <t>06/29/2022 at 12:25:09 UTC</t>
  </si>
  <si>
    <t>Ivo Beltchev</t>
  </si>
  <si>
    <t>Plexus</t>
  </si>
  <si>
    <t>11/14/2022 at 17:43:08 UTC</t>
  </si>
  <si>
    <t>United States Postal Service</t>
  </si>
  <si>
    <t>11/07/2019 at 10:13:17 UTC</t>
  </si>
  <si>
    <t>Roger Zander</t>
  </si>
  <si>
    <t>Clorox</t>
  </si>
  <si>
    <t>10/06/2021 at 02:05:24 UTC</t>
  </si>
  <si>
    <t>Cloud Foundry</t>
  </si>
  <si>
    <t>11/10/2021 at 17:39:08 UTC</t>
  </si>
  <si>
    <t>Virtana</t>
  </si>
  <si>
    <t>02/22/2024 at 03:38:30 UTC</t>
  </si>
  <si>
    <t>08/02/2022 at 18:18:32 UTC</t>
  </si>
  <si>
    <t>CmderDev</t>
  </si>
  <si>
    <t>10/01/2019 at 15:21:48 UTC</t>
  </si>
  <si>
    <t>02/22/2023 at 19:05:50 UTC</t>
  </si>
  <si>
    <t>03/01/2022 at 23:51:01 UTC</t>
  </si>
  <si>
    <t>Cobbler</t>
  </si>
  <si>
    <t>02/22/2024 at 03:38:35 UTC</t>
  </si>
  <si>
    <t>Minko Gechev</t>
  </si>
  <si>
    <t>Colectica</t>
  </si>
  <si>
    <t>03/04/2021 at 13:01:36 UTC</t>
  </si>
  <si>
    <t>10/23/2018 at 21:44:41 UTC</t>
  </si>
  <si>
    <t>collectd</t>
  </si>
  <si>
    <t>Direct Color Systems</t>
  </si>
  <si>
    <t>Paciello Group</t>
  </si>
  <si>
    <t>10/29/2024 at 19:18:12 UTC</t>
  </si>
  <si>
    <t>Elite Software</t>
  </si>
  <si>
    <t>11/28/2018 at 07:50:10 UTC</t>
  </si>
  <si>
    <t>10/25/2024 at 15:59:08 UTC</t>
  </si>
  <si>
    <t>04/17/2023 at 16:02:55 UTC</t>
  </si>
  <si>
    <t>03/14/2024 at 16:04:25 UTC</t>
  </si>
  <si>
    <t>12/20/2022 at 21:00:39 UTC</t>
  </si>
  <si>
    <t>02/13/2023 at 18:23:17 UTC</t>
  </si>
  <si>
    <t>Naoaki Okazaki</t>
  </si>
  <si>
    <t>01/17/2020 at 13:34:12 UTC</t>
  </si>
  <si>
    <t>12/21/2021 at 22:14:48 UTC</t>
  </si>
  <si>
    <t>01/25/2023 at 03:17:41 UTC</t>
  </si>
  <si>
    <t>CoreOS</t>
  </si>
  <si>
    <t>05/23/2019 at 11:51:57 UTC</t>
  </si>
  <si>
    <t>ConText</t>
  </si>
  <si>
    <t>Clearone</t>
  </si>
  <si>
    <t>copernic</t>
  </si>
  <si>
    <t>11/20/2024 at 02:55:56 UTC</t>
  </si>
  <si>
    <t>Vitech</t>
  </si>
  <si>
    <t>02/19/2020 at 11:57:47 UTC</t>
  </si>
  <si>
    <t>04/24/2024 at 18:28:10 UTC</t>
  </si>
  <si>
    <t>01/24/2024 at 03:41:10 UTC</t>
  </si>
  <si>
    <t>Couchbase</t>
  </si>
  <si>
    <t>04/26/2023 at 01:58:19 UTC</t>
  </si>
  <si>
    <t>05/23/2019 at 11:52:14 UTC</t>
  </si>
  <si>
    <t>Daniel Prokscha</t>
  </si>
  <si>
    <t>01/31/2023 at 17:40:53 UTC</t>
  </si>
  <si>
    <t>01/02/2024 at 17:35:24 UTC</t>
  </si>
  <si>
    <t>PHP Extension and Application Repository (PEAR)</t>
  </si>
  <si>
    <t>Steinberg</t>
  </si>
  <si>
    <t>03/25/2024 at 15:23:37 UTC</t>
  </si>
  <si>
    <t>02/02/2024 at 03:07:47 UTC</t>
  </si>
  <si>
    <t>Iterate GmbH</t>
  </si>
  <si>
    <t>07/12/2024 at 02:55:56 UTC</t>
  </si>
  <si>
    <t>Inference Group</t>
  </si>
  <si>
    <t>07/12/2019 at 13:42:00 UTC</t>
  </si>
  <si>
    <t>04/04/2024 at 15:40:22 UTC</t>
  </si>
  <si>
    <t>07/28/2020 at 14:38:00 UTC</t>
  </si>
  <si>
    <t>MKF Solutions</t>
  </si>
  <si>
    <t>06/30/2020 at 15:38:21 UTC</t>
  </si>
  <si>
    <t>DataRobot</t>
  </si>
  <si>
    <t>04/24/2024 at 18:28:12 UTC</t>
  </si>
  <si>
    <t>Enhanced Vision</t>
  </si>
  <si>
    <t>05/01/2020 at 14:08:54 UTC</t>
  </si>
  <si>
    <t>DbVis Software</t>
  </si>
  <si>
    <t>03/15/2019 at 16:51:18 UTC</t>
  </si>
  <si>
    <t>Debian</t>
  </si>
  <si>
    <t>12/11/2023 at 20:10:29 UTC</t>
  </si>
  <si>
    <t>Faronics</t>
  </si>
  <si>
    <t>04/24/2024 at 18:28:14 UTC</t>
  </si>
  <si>
    <t>Dell Software</t>
  </si>
  <si>
    <t>01/10/2023 at 02:26:17 UTC</t>
  </si>
  <si>
    <t>08/27/2024 at 15:30:03 UTC</t>
  </si>
  <si>
    <t>09/21/2022 at 16:25:39 UTC</t>
  </si>
  <si>
    <t>Cayuse</t>
  </si>
  <si>
    <t>11/30/2022 at 02:56:25 UTC</t>
  </si>
  <si>
    <t>University College London: Bartlett School of Architecture</t>
  </si>
  <si>
    <t>12/12/2019 at 08:33:01 UTC</t>
  </si>
  <si>
    <t>Descript</t>
  </si>
  <si>
    <t>02/23/2024 at 14:30:50 UTC</t>
  </si>
  <si>
    <t>Arnout Kazemier</t>
  </si>
  <si>
    <t>DIAL GmbH</t>
  </si>
  <si>
    <t>Glooko</t>
  </si>
  <si>
    <t>01/20/2023 at 16:38:07 UTC</t>
  </si>
  <si>
    <t>PixelMed Publishing</t>
  </si>
  <si>
    <t>08/27/2024 at 02:03:20 UTC</t>
  </si>
  <si>
    <t>12/20/2023 at 19:03:04 UTC</t>
  </si>
  <si>
    <t>StartStop</t>
  </si>
  <si>
    <t>07/20/2020 at 11:42:36 UTC</t>
  </si>
  <si>
    <t>Digital Imaging and Communications Validation Toolkit</t>
  </si>
  <si>
    <t>Offis</t>
  </si>
  <si>
    <t>Digital Juice</t>
  </si>
  <si>
    <t>05/23/2019 at 11:51:56 UTC</t>
  </si>
  <si>
    <t>05/29/2019 at 12:46:15 UTC</t>
  </si>
  <si>
    <t>CoffeeCup</t>
  </si>
  <si>
    <t>DevEnterprise</t>
  </si>
  <si>
    <t>06/27/2024 at 17:09:28 UTC</t>
  </si>
  <si>
    <t>Discord</t>
  </si>
  <si>
    <t>Discourse</t>
  </si>
  <si>
    <t>01/31/2022 at 02:17:53 UTC</t>
  </si>
  <si>
    <t>508 Software</t>
  </si>
  <si>
    <t>06/25/2020 at 12:10:38 UTC</t>
  </si>
  <si>
    <t>Fujiwara Software</t>
  </si>
  <si>
    <t>07/09/2019 at 07:53:44 UTC</t>
  </si>
  <si>
    <t>Konica Minolta</t>
  </si>
  <si>
    <t>SentryOne</t>
  </si>
  <si>
    <t>07/16/2020 at 11:04:30 UTC</t>
  </si>
  <si>
    <t>Docassemble</t>
  </si>
  <si>
    <t>12/01/2022 at 03:44:34 UTC</t>
  </si>
  <si>
    <t>01/30/2024 at 01:08:43 UTC</t>
  </si>
  <si>
    <t>Voomly, LLC</t>
  </si>
  <si>
    <t>01/09/2024 at 23:35:36 UTC</t>
  </si>
  <si>
    <t>Open-Xchange</t>
  </si>
  <si>
    <t>Dimitri van Heesch</t>
  </si>
  <si>
    <t>Dracut Devs</t>
  </si>
  <si>
    <t>Megaify</t>
  </si>
  <si>
    <t>Druid</t>
  </si>
  <si>
    <t>03/25/2020 at 16:10:06 UTC</t>
  </si>
  <si>
    <t>Fang-Cheng Yeh</t>
  </si>
  <si>
    <t>01/30/2024 at 01:09:02 UTC</t>
  </si>
  <si>
    <t>DTX Studio</t>
  </si>
  <si>
    <t>05/05/2020 at 14:44:24 UTC</t>
  </si>
  <si>
    <t>Ducklink Software</t>
  </si>
  <si>
    <t>DuckDB</t>
  </si>
  <si>
    <t>08/16/2024 at 18:06:52 UTC</t>
  </si>
  <si>
    <t>DuckDuckGo</t>
  </si>
  <si>
    <t>01/03/2024 at 02:37:32 UTC</t>
  </si>
  <si>
    <t>Duet</t>
  </si>
  <si>
    <t>02/03/2022 at 16:22:09 UTC</t>
  </si>
  <si>
    <t>Digital Volcano</t>
  </si>
  <si>
    <t>06/15/2020 at 14:09:48 UTC</t>
  </si>
  <si>
    <t>AutoDWG</t>
  </si>
  <si>
    <t>12/20/2023 at 19:02:59 UTC</t>
  </si>
  <si>
    <t>05/01/2023 at 00:57:24 UTC</t>
  </si>
  <si>
    <t>03/11/2021 at 15:01:48 UTC</t>
  </si>
  <si>
    <t>12/31/2020 at 08:18:02 UTC</t>
  </si>
  <si>
    <t>01/21/2022 at 01:19:48 UTC</t>
  </si>
  <si>
    <t>05/23/2022 at 16:40:15 UTC</t>
  </si>
  <si>
    <t>Granta Design</t>
  </si>
  <si>
    <t>Grass Valley</t>
  </si>
  <si>
    <t>IRDP</t>
  </si>
  <si>
    <t>02/02/2024 at 03:07:49 UTC</t>
  </si>
  <si>
    <t>06/08/2020 at 14:30:05 UTC</t>
  </si>
  <si>
    <t>Swartz Center for Computational Neuroscience</t>
  </si>
  <si>
    <t>Hughes Network Systems</t>
  </si>
  <si>
    <t>01/08/2024 at 16:00:13 UTC</t>
  </si>
  <si>
    <t>Indiana State Judicial Administration</t>
  </si>
  <si>
    <t>03/14/2021 at 20:46:38 UTC</t>
  </si>
  <si>
    <t>10/14/2024 at 01:22:51 UTC</t>
  </si>
  <si>
    <t>04/07/2019 at 21:07:50 UTC</t>
  </si>
  <si>
    <t>Smart Company Software</t>
  </si>
  <si>
    <t>08/18/2022 at 18:58:24 UTC</t>
  </si>
  <si>
    <t>09/19/2024 at 17:25:25 UTC</t>
  </si>
  <si>
    <t>ENERCALC, INC</t>
  </si>
  <si>
    <t>01/27/2023 at 01:57:01 UTC</t>
  </si>
  <si>
    <t>01/25/2024 at 01:33:47 UTC</t>
  </si>
  <si>
    <t>Unified Global Archiving</t>
  </si>
  <si>
    <t>03/27/2023 at 02:34:38 UTC</t>
  </si>
  <si>
    <t>09/26/2022 at 02:04:23 UTC</t>
  </si>
  <si>
    <t>Chemical Safety</t>
  </si>
  <si>
    <t>02/07/2023 at 20:24:32 UTC</t>
  </si>
  <si>
    <t>Earthsoft</t>
  </si>
  <si>
    <t>10/21/2020 at 09:20:26 UTC</t>
  </si>
  <si>
    <t>Ericsson</t>
  </si>
  <si>
    <t>Cryopak Verification Technologies</t>
  </si>
  <si>
    <t>09/16/2020 at 11:56:50 UTC</t>
  </si>
  <si>
    <t>Evernote</t>
  </si>
  <si>
    <t>05/14/2019 at 09:34:56 UTC</t>
  </si>
  <si>
    <t>01/18/2024 at 02:50:27 UTC</t>
  </si>
  <si>
    <t>03/19/2024 at 00:47:19 UTC</t>
  </si>
  <si>
    <t>Exiv2</t>
  </si>
  <si>
    <t>10/27/2021 at 16:59:15 UTC</t>
  </si>
  <si>
    <t>11/25/2024 at 18:02:04 UTC</t>
  </si>
  <si>
    <t>02/03/2020 at 18:50:27 UTC</t>
  </si>
  <si>
    <t>09/17/2020 at 10:56:55 UTC</t>
  </si>
  <si>
    <t>Sonic Innovations</t>
  </si>
  <si>
    <t>10/29/2024 at 19:18:27 UTC</t>
  </si>
  <si>
    <t>10/10/2024 at 18:03:46 UTC</t>
  </si>
  <si>
    <t>Jeff Forcier</t>
  </si>
  <si>
    <t>03/24/2020 at 14:29:56 UTC</t>
  </si>
  <si>
    <t>08/14/2019 at 12:51:44 UTC</t>
  </si>
  <si>
    <t>Eric Fields</t>
  </si>
  <si>
    <t>06/26/2020 at 09:10:11 UTC</t>
  </si>
  <si>
    <t>Kirill Zinov</t>
  </si>
  <si>
    <t>Fetchmail</t>
  </si>
  <si>
    <t>10/27/2021 at 02:27:33 UTC</t>
  </si>
  <si>
    <t>Donders Centre for Cognitive Neuroimaging</t>
  </si>
  <si>
    <t>04/10/2024 at 17:36:43 UTC</t>
  </si>
  <si>
    <t>Marcos Meli</t>
  </si>
  <si>
    <t>Softonium Developments</t>
  </si>
  <si>
    <t>FireBreath</t>
  </si>
  <si>
    <t>12/03/2021 at 02:17:00 UTC</t>
  </si>
  <si>
    <t>FIT360 Ltd</t>
  </si>
  <si>
    <t>Blueberry Software</t>
  </si>
  <si>
    <t>05/28/2019 at 12:17:30 UTC</t>
  </si>
  <si>
    <t>MModal IP LLC</t>
  </si>
  <si>
    <t>FluentAssertions</t>
  </si>
  <si>
    <t>11/30/2022 at 20:04:04 UTC</t>
  </si>
  <si>
    <t>Jeremy Skinner</t>
  </si>
  <si>
    <t>Weaveworks</t>
  </si>
  <si>
    <t>Poldrack Lab</t>
  </si>
  <si>
    <t>01/30/2024 at 01:09:20 UTC</t>
  </si>
  <si>
    <t>JSC Elinvision</t>
  </si>
  <si>
    <t>12/07/2023 at 18:12:25 UTC</t>
  </si>
  <si>
    <t>06/08/2020 at 10:34:16 UTC</t>
  </si>
  <si>
    <t>Former2</t>
  </si>
  <si>
    <t>05/13/2021 at 22:20:11 UTC</t>
  </si>
  <si>
    <t>Everimaging Limited</t>
  </si>
  <si>
    <t>09/17/2020 at 10:56:54 UTC</t>
  </si>
  <si>
    <t>Innoventive Software, LLC</t>
  </si>
  <si>
    <t>dvdvideosoft</t>
  </si>
  <si>
    <t>FreeBSD</t>
  </si>
  <si>
    <t>04/29/2020 at 11:29:26 UTC</t>
  </si>
  <si>
    <t>07/13/2020 at 12:48:09 UTC</t>
  </si>
  <si>
    <t>The Gabrieli Lab</t>
  </si>
  <si>
    <t>01/30/2024 at 01:09:14 UTC</t>
  </si>
  <si>
    <t>Marcom Central</t>
  </si>
  <si>
    <t>Charles Ragin</t>
  </si>
  <si>
    <t>Bacharach</t>
  </si>
  <si>
    <t>11/12/2020 at 21:34:40 UTC</t>
  </si>
  <si>
    <t>CHIA MASSACHUSETTS</t>
  </si>
  <si>
    <t>GeoDaCenter</t>
  </si>
  <si>
    <t>01/25/2024 at 01:34:04 UTC</t>
  </si>
  <si>
    <t>MaxMind, Inc</t>
  </si>
  <si>
    <t>08/27/2024 at 02:02:51 UTC</t>
  </si>
  <si>
    <t>GeoServer</t>
  </si>
  <si>
    <t>The Ghost Foundation</t>
  </si>
  <si>
    <t>Artifex Software, Inc</t>
  </si>
  <si>
    <t>08/13/2020 at 12:01:56 UTC</t>
  </si>
  <si>
    <t>git-tfs</t>
  </si>
  <si>
    <t>Nicolas Hennion</t>
  </si>
  <si>
    <t>03/27/2023 at 02:34:43 UTC</t>
  </si>
  <si>
    <t>11/02/2022 at 04:10:27 UTC</t>
  </si>
  <si>
    <t>02/07/2022 at 01:28:07 UTC</t>
  </si>
  <si>
    <t>gnuplot Team</t>
  </si>
  <si>
    <t>11/02/2022 at 04:10:28 UTC</t>
  </si>
  <si>
    <t>The Go Project</t>
  </si>
  <si>
    <t>Go Anywhere</t>
  </si>
  <si>
    <t>06/03/2024 at 19:06:00 UTC</t>
  </si>
  <si>
    <t>03/26/2024 at 16:10:56 UTC</t>
  </si>
  <si>
    <t>Goverlan, Inc</t>
  </si>
  <si>
    <t>06/17/2021 at 21:28:26 UTC</t>
  </si>
  <si>
    <t>Grammarly</t>
  </si>
  <si>
    <t>12/11/2023 at 14:11:24 UTC</t>
  </si>
  <si>
    <t>10/25/2022 at 19:17:55 UTC</t>
  </si>
  <si>
    <t>Graphisoft</t>
  </si>
  <si>
    <t>Greenshot</t>
  </si>
  <si>
    <t>10/10/2024 at 18:03:48 UTC</t>
  </si>
  <si>
    <t>11/08/2024 at 02:03:36 UTC</t>
  </si>
  <si>
    <t>04/10/2023 at 02:59:41 UTC</t>
  </si>
  <si>
    <t>08/16/2024 at 18:06:53 UTC</t>
  </si>
  <si>
    <t>Chris Wren</t>
  </si>
  <si>
    <t>GuruSquad</t>
  </si>
  <si>
    <t>03/19/2024 at 00:47:21 UTC</t>
  </si>
  <si>
    <t>HandBrake</t>
  </si>
  <si>
    <t>12/10/2024 at 18:06:47 UTC</t>
  </si>
  <si>
    <t>HD Sentinel</t>
  </si>
  <si>
    <t>12/13/2021 at 17:37:29 UTC</t>
  </si>
  <si>
    <t>HarePoint Solutions</t>
  </si>
  <si>
    <t>04/04/2024 at 15:40:16 UTC</t>
  </si>
  <si>
    <t>Jirka Hladky</t>
  </si>
  <si>
    <t>James Strachan</t>
  </si>
  <si>
    <t>05/26/2020 at 10:24:35 UTC</t>
  </si>
  <si>
    <t>11/16/2018 at 09:33:00 UTC</t>
  </si>
  <si>
    <t>07/19/2024 at 02:54:51 UTC</t>
  </si>
  <si>
    <t>06/08/2020 at 10:34:13 UTC</t>
  </si>
  <si>
    <t>Hex-Rays SA</t>
  </si>
  <si>
    <t>08/29/2019 at 15:18:01 UTC</t>
  </si>
  <si>
    <t>Holladay Consulting</t>
  </si>
  <si>
    <t>05/14/2020 at 14:24:04 UTC</t>
  </si>
  <si>
    <t>Huddle</t>
  </si>
  <si>
    <t>04/20/2020 at 22:42:33 UTC</t>
  </si>
  <si>
    <t>HNNeurosolver</t>
  </si>
  <si>
    <t>06/04/2021 at 03:51:33 UTC</t>
  </si>
  <si>
    <t>CapitalOne</t>
  </si>
  <si>
    <t>Hyperledger</t>
  </si>
  <si>
    <t>Hilgraeve</t>
  </si>
  <si>
    <t>04/07/2019 at 21:08:04 UTC</t>
  </si>
  <si>
    <t>11/29/2023 at 19:30:06 UTC</t>
  </si>
  <si>
    <t>04/10/2023 at 02:59:43 UTC</t>
  </si>
  <si>
    <t>02/28/2024 at 14:33:47 UTC</t>
  </si>
  <si>
    <t>ICONICS</t>
  </si>
  <si>
    <t>12/09/2022 at 20:10:30 UTC</t>
  </si>
  <si>
    <t>Sandy Zeng</t>
  </si>
  <si>
    <t>IHE</t>
  </si>
  <si>
    <t>02/06/2019 at 09:44:44 UTC</t>
  </si>
  <si>
    <t>Impinj</t>
  </si>
  <si>
    <t>IncrediBuild Software Ltd</t>
  </si>
  <si>
    <t>i-net software</t>
  </si>
  <si>
    <t>04/01/2022 at 21:14:19 UTC</t>
  </si>
  <si>
    <t>Ocuco</t>
  </si>
  <si>
    <t>01/03/2022 at 22:17:02 UTC</t>
  </si>
  <si>
    <t>05/12/2020 at 15:54:23 UTC</t>
  </si>
  <si>
    <t>IDPhotoCapture</t>
  </si>
  <si>
    <t>05/06/2019 at 08:34:36 UTC</t>
  </si>
  <si>
    <t>MetaGeek, LLC</t>
  </si>
  <si>
    <t>02/06/2019 at 09:44:47 UTC</t>
  </si>
  <si>
    <t>12/09/2022 at 20:10:38 UTC</t>
  </si>
  <si>
    <t>09/13/2022 at 18:11:37 UTC</t>
  </si>
  <si>
    <t>11/08/2024 at 02:03:37 UTC</t>
  </si>
  <si>
    <t>12/20/2023 at 19:03:01 UTC</t>
  </si>
  <si>
    <t>Atozed Software</t>
  </si>
  <si>
    <t>11/09/2020 at 15:54:50 UTC</t>
  </si>
  <si>
    <t>04/19/2024 at 03:49:32 UTC</t>
  </si>
  <si>
    <t>IOzone</t>
  </si>
  <si>
    <t>04/29/2020 at 11:49:29 UTC</t>
  </si>
  <si>
    <t>iView Systems</t>
  </si>
  <si>
    <t>IPython</t>
  </si>
  <si>
    <t>09/28/2020 at 10:28:13 UTC</t>
  </si>
  <si>
    <t>iReasoning</t>
  </si>
  <si>
    <t>02/24/2021 at 08:44:05 UTC</t>
  </si>
  <si>
    <t>06/28/2019 at 13:56:06 UTC</t>
  </si>
  <si>
    <t>ISL Online</t>
  </si>
  <si>
    <t>01/04/2024 at 03:41:17 UTC</t>
  </si>
  <si>
    <t>03/12/2020 at 15:22:43 UTC</t>
  </si>
  <si>
    <t>Bjango</t>
  </si>
  <si>
    <t>PulseSecure</t>
  </si>
  <si>
    <t>FutureNet Technologies</t>
  </si>
  <si>
    <t>Jamovi</t>
  </si>
  <si>
    <t>AgNO3</t>
  </si>
  <si>
    <t>04/04/2024 at 15:40:15 UTC</t>
  </si>
  <si>
    <t>03/31/2020 at 10:49:45 UTC</t>
  </si>
  <si>
    <t>Visuality Systems</t>
  </si>
  <si>
    <t>The jTDS Project</t>
  </si>
  <si>
    <t>ECMA, International</t>
  </si>
  <si>
    <t>JASP-Stats</t>
  </si>
  <si>
    <t>05/31/2019 at 11:11:33 UTC</t>
  </si>
  <si>
    <t>05/28/2020 at 16:31:05 UTC</t>
  </si>
  <si>
    <t>agilquest</t>
  </si>
  <si>
    <t>09/07/2022 at 18:30:06 UTC</t>
  </si>
  <si>
    <t>jqlang</t>
  </si>
  <si>
    <t>OpenNMS</t>
  </si>
  <si>
    <t>05/12/2020 at 08:15:22 UTC</t>
  </si>
  <si>
    <t>03/27/2023 at 17:25:34 UTC</t>
  </si>
  <si>
    <t>10/03/2024 at 15:55:50 UTC</t>
  </si>
  <si>
    <t>01/24/2024 at 03:40:17 UTC</t>
  </si>
  <si>
    <t>02/16/2024 at 17:19:42 UTC</t>
  </si>
  <si>
    <t>Alexandre Cassen</t>
  </si>
  <si>
    <t>Keka Project</t>
  </si>
  <si>
    <t>12/12/2022 at 03:47:28 UTC</t>
  </si>
  <si>
    <t>Kensington</t>
  </si>
  <si>
    <t>07/24/2024 at 04:25:14 UTC</t>
  </si>
  <si>
    <t>AIDeX Software</t>
  </si>
  <si>
    <t>07/20/2020 at 11:42:32 UTC</t>
  </si>
  <si>
    <t>Hudson Lock, LLC</t>
  </si>
  <si>
    <t>08/18/2020 at 08:54:59 UTC</t>
  </si>
  <si>
    <t>KioWare</t>
  </si>
  <si>
    <t>07/16/2019 at 12:17:07 UTC</t>
  </si>
  <si>
    <t>XBMC Foundation</t>
  </si>
  <si>
    <t>11/01/2021 at 00:53:08 UTC</t>
  </si>
  <si>
    <t>Belltech Systems</t>
  </si>
  <si>
    <t>LabelTac</t>
  </si>
  <si>
    <t>11/14/2022 at 17:41:43 UTC</t>
  </si>
  <si>
    <t>TeX Users Group</t>
  </si>
  <si>
    <t>02/28/2024 at 14:30:24 UTC</t>
  </si>
  <si>
    <t>LinenMaster</t>
  </si>
  <si>
    <t>09/30/2022 at 16:17:19 UTC</t>
  </si>
  <si>
    <t>Ghent University Department of Data Analysis</t>
  </si>
  <si>
    <t>01/25/2023 at 18:04:25 UTC</t>
  </si>
  <si>
    <t>04/22/2024 at 17:37:31 UTC</t>
  </si>
  <si>
    <t>CAE</t>
  </si>
  <si>
    <t>Greg Roelofs</t>
  </si>
  <si>
    <t>Libreswan</t>
  </si>
  <si>
    <t>10/13/2023 at 18:32:50 UTC</t>
  </si>
  <si>
    <t>LibTIFF</t>
  </si>
  <si>
    <t>Daniel Veillard</t>
  </si>
  <si>
    <t>12/09/2022 at 19:30:49 UTC</t>
  </si>
  <si>
    <t>LiquidFiles</t>
  </si>
  <si>
    <t>04/30/2019 at 16:38:24 UTC</t>
  </si>
  <si>
    <t>Sharepointalist</t>
  </si>
  <si>
    <t>LocalStack</t>
  </si>
  <si>
    <t>11/10/2021 at 17:39:06 UTC</t>
  </si>
  <si>
    <t>06/10/2024 at 15:39:10 UTC</t>
  </si>
  <si>
    <t>LogicMonitor</t>
  </si>
  <si>
    <t>08/18/2020 at 08:50:13 UTC</t>
  </si>
  <si>
    <t>05/13/2024 at 16:45:20 UTC</t>
  </si>
  <si>
    <t>Glider Labs</t>
  </si>
  <si>
    <t>12/12/2022 at 03:45:09 UTC</t>
  </si>
  <si>
    <t>Longbow Software</t>
  </si>
  <si>
    <t>07/22/2020 at 08:55:43 UTC</t>
  </si>
  <si>
    <t>01/08/2025 at 18:20:24 UTC</t>
  </si>
  <si>
    <t>04/24/2024 at 18:27:02 UTC</t>
  </si>
  <si>
    <t>04/24/2024 at 18:27:04 UTC</t>
  </si>
  <si>
    <t>07/27/2021 at 12:30:57 UTC</t>
  </si>
  <si>
    <t>Luminare</t>
  </si>
  <si>
    <t>Lyx</t>
  </si>
  <si>
    <t>Benjamin Fleischer</t>
  </si>
  <si>
    <t>06/01/2020 at 08:30:49 UTC</t>
  </si>
  <si>
    <t>11/23/2021 at 04:32:19 UTC</t>
  </si>
  <si>
    <t>Peter Lindstrom (liquidcms)</t>
  </si>
  <si>
    <t>03/31/2023 at 19:03:17 UTC</t>
  </si>
  <si>
    <t>07/12/2019 at 13:42:02 UTC</t>
  </si>
  <si>
    <t>Mamba-org</t>
  </si>
  <si>
    <t>11/03/2023 at 03:22:47 UTC</t>
  </si>
  <si>
    <t>09/24/2019 at 15:31:27 UTC</t>
  </si>
  <si>
    <t>Victor Boctor</t>
  </si>
  <si>
    <t>05/12/2019 at 17:28:33 UTC</t>
  </si>
  <si>
    <t>NV5 Global, Inc</t>
  </si>
  <si>
    <t>02/12/2024 at 20:36:39 UTC</t>
  </si>
  <si>
    <t>MarcEdit Development</t>
  </si>
  <si>
    <t>Evan Wondrasek</t>
  </si>
  <si>
    <t>MarkLogic</t>
  </si>
  <si>
    <t>06/19/2019 at 13:11:53 UTC</t>
  </si>
  <si>
    <t>David Groppe</t>
  </si>
  <si>
    <t>Design Science</t>
  </si>
  <si>
    <t>02/05/2021 at 12:43:28 UTC</t>
  </si>
  <si>
    <t>Matthieu Aubry</t>
  </si>
  <si>
    <t>Matrics Assessment Inc</t>
  </si>
  <si>
    <t>Matrox</t>
  </si>
  <si>
    <t>Broderbund</t>
  </si>
  <si>
    <t>Maxxess Systems</t>
  </si>
  <si>
    <t>03/27/2023 at 02:34:39 UTC</t>
  </si>
  <si>
    <t>06/22/2020 at 13:47:21 UTC</t>
  </si>
  <si>
    <t>Alt-N Technologies</t>
  </si>
  <si>
    <t>07/16/2019 at 12:17:08 UTC</t>
  </si>
  <si>
    <t>Microlife Medical Home Solutions</t>
  </si>
  <si>
    <t>MediaArea</t>
  </si>
  <si>
    <t>Jimmy Bogard</t>
  </si>
  <si>
    <t>03/27/2023 at 15:43:18 UTC</t>
  </si>
  <si>
    <t>09/30/2022 at 16:17:15 UTC</t>
  </si>
  <si>
    <t>06/04/2019 at 10:17:17 UTC</t>
  </si>
  <si>
    <t>Spinsys</t>
  </si>
  <si>
    <t>11/28/2018 at 07:50:08 UTC</t>
  </si>
  <si>
    <t>National Technical Information Service</t>
  </si>
  <si>
    <t>03/15/2019 at 16:51:15 UTC</t>
  </si>
  <si>
    <t>Meilisearch</t>
  </si>
  <si>
    <t>Surgical Science</t>
  </si>
  <si>
    <t>BlueCielo</t>
  </si>
  <si>
    <t>Paolo Cignoni</t>
  </si>
  <si>
    <t>12/13/2019 at 12:13:36 UTC</t>
  </si>
  <si>
    <t>08/19/2022 at 17:37:41 UTC</t>
  </si>
  <si>
    <t>05/10/2023 at 14:11:55 UTC</t>
  </si>
  <si>
    <t>03/31/2023 at 18:01:30 UTC</t>
  </si>
  <si>
    <t>02/23/2024 at 14:30:43 UTC</t>
  </si>
  <si>
    <t>11/01/2021 at 18:06:32 UTC</t>
  </si>
  <si>
    <t>07/19/2024 at 16:34:00 UTC</t>
  </si>
  <si>
    <t>09/21/2022 at 02:04:01 UTC</t>
  </si>
  <si>
    <t>03/25/2024 at 16:46:23 UTC</t>
  </si>
  <si>
    <t>SoftChoice</t>
  </si>
  <si>
    <t>12/10/2024 at 18:08:26 UTC</t>
  </si>
  <si>
    <t>11/08/2024 at 02:03:14 UTC</t>
  </si>
  <si>
    <t>02/09/2023 at 03:34:23 UTC</t>
  </si>
  <si>
    <t>09/28/2022 at 01:10:08 UTC</t>
  </si>
  <si>
    <t>06/02/2022 at 17:28:07 UTC</t>
  </si>
  <si>
    <t>02/13/2023 at 18:23:26 UTC</t>
  </si>
  <si>
    <t>03/13/2023 at 16:47:53 UTC</t>
  </si>
  <si>
    <t>04/28/2023 at 15:48:07 UTC</t>
  </si>
  <si>
    <t>03/30/2023 at 19:17:51 UTC</t>
  </si>
  <si>
    <t>Midmark</t>
  </si>
  <si>
    <t>05/01/2024 at 19:32:16 UTC</t>
  </si>
  <si>
    <t>06/21/2024 at 22:00:44 UTC</t>
  </si>
  <si>
    <t>Mine Safety Appliances (MSA)</t>
  </si>
  <si>
    <t>Conda</t>
  </si>
  <si>
    <t>Conda-Forge</t>
  </si>
  <si>
    <t>Auditory Potential, LLC</t>
  </si>
  <si>
    <t>11/29/2024 at 20:47:42 UTC</t>
  </si>
  <si>
    <t>Mirah</t>
  </si>
  <si>
    <t>Mist</t>
  </si>
  <si>
    <t>Mitel</t>
  </si>
  <si>
    <t>02/03/2020 at 08:29:45 UTC</t>
  </si>
  <si>
    <t>Mobatek</t>
  </si>
  <si>
    <t>RPA Technology Inc</t>
  </si>
  <si>
    <t>12/06/2021 at 19:46:38 UTC</t>
  </si>
  <si>
    <t>Enhansoft</t>
  </si>
  <si>
    <t>06/19/2019 at 13:37:50 UTC</t>
  </si>
  <si>
    <t>Kaleb Pederson</t>
  </si>
  <si>
    <t>03/08/2023 at 04:43:40 UTC</t>
  </si>
  <si>
    <t>United States Department of Energy</t>
  </si>
  <si>
    <t>08/21/2019 at 07:10:56 UTC</t>
  </si>
  <si>
    <t>Acapela Group</t>
  </si>
  <si>
    <t>NeuroImaging Tools &amp; Resources Collaboratory (NITRC)</t>
  </si>
  <si>
    <t>Yota Toyama</t>
  </si>
  <si>
    <t>09/23/2024 at 17:09:02 UTC</t>
  </si>
  <si>
    <t>Chicago-Soft Ltd</t>
  </si>
  <si>
    <t>Eduserv</t>
  </si>
  <si>
    <t>Myomo</t>
  </si>
  <si>
    <t>11/25/2024 at 18:01:53 UTC</t>
  </si>
  <si>
    <t>MyMobiler</t>
  </si>
  <si>
    <t>05/12/2020 at 08:15:25 UTC</t>
  </si>
  <si>
    <t>MyScript</t>
  </si>
  <si>
    <t>N-Able</t>
  </si>
  <si>
    <t>07/19/2022 at 12:49:29 UTC</t>
  </si>
  <si>
    <t>10/04/2024 at 20:50:53 UTC</t>
  </si>
  <si>
    <t>04/17/2023 at 14:22:28 UTC</t>
  </si>
  <si>
    <t>10/28/2019 at 10:52:06 UTC</t>
  </si>
  <si>
    <t>Navex Global</t>
  </si>
  <si>
    <t>06/19/2019 at 13:37:52 UTC</t>
  </si>
  <si>
    <t>Alachisoft</t>
  </si>
  <si>
    <t>05/29/2019 at 12:46:13 UTC</t>
  </si>
  <si>
    <t>12/16/2024 at 20:45:49 UTC</t>
  </si>
  <si>
    <t>02/09/2023 at 03:34:24 UTC</t>
  </si>
  <si>
    <t>07/12/2019 at 13:42:13 UTC</t>
  </si>
  <si>
    <t>Trilon</t>
  </si>
  <si>
    <t>09/09/2024 at 15:24:26 UTC</t>
  </si>
  <si>
    <t>04/24/2024 at 18:28:22 UTC</t>
  </si>
  <si>
    <t>On-Net Surveillance Systems</t>
  </si>
  <si>
    <t>11/14/2019 at 09:26:34 UTC</t>
  </si>
  <si>
    <t>Netspot</t>
  </si>
  <si>
    <t>08/16/2024 at 18:06:54 UTC</t>
  </si>
  <si>
    <t>Compuprint Printing and Scanning Solutions</t>
  </si>
  <si>
    <t>The Network Time Protocol</t>
  </si>
  <si>
    <t>10/14/2024 at 01:23:07 UTC</t>
  </si>
  <si>
    <t>10/14/2024 at 01:23:08 UTC</t>
  </si>
  <si>
    <t>10/14/2024 at 01:23:09 UTC</t>
  </si>
  <si>
    <t>10/14/2024 at 01:23:10 UTC</t>
  </si>
  <si>
    <t>10/14/2024 at 01:23:11 UTC</t>
  </si>
  <si>
    <t>10/14/2024 at 01:23:13 UTC</t>
  </si>
  <si>
    <t>10/14/2024 at 01:23:12 UTC</t>
  </si>
  <si>
    <t>10/14/2024 at 01:23:14 UTC</t>
  </si>
  <si>
    <t>08/03/2023 at 12:26:52 UTC</t>
  </si>
  <si>
    <t>NewTek</t>
  </si>
  <si>
    <t>08/27/2024 at 02:02:45 UTC</t>
  </si>
  <si>
    <t>07/12/2024 at 02:55:59 UTC</t>
  </si>
  <si>
    <t>10/18/2022 at 17:41:01 UTC</t>
  </si>
  <si>
    <t>ngrok</t>
  </si>
  <si>
    <t>03/06/2024 at 04:24:43 UTC</t>
  </si>
  <si>
    <t>NICOLAB</t>
  </si>
  <si>
    <t>03/24/2022 at 02:28:20 UTC</t>
  </si>
  <si>
    <t>NMAP</t>
  </si>
  <si>
    <t>10/30/2024 at 15:24:54 UTC</t>
  </si>
  <si>
    <t>Corey Butler</t>
  </si>
  <si>
    <t>08/19/2024 at 14:48:02 UTC</t>
  </si>
  <si>
    <t>Social Media Research Foundation</t>
  </si>
  <si>
    <t>Cirrus Research</t>
  </si>
  <si>
    <t>01/25/2024 at 01:34:39 UTC</t>
  </si>
  <si>
    <t>NoMachine</t>
  </si>
  <si>
    <t>Iain Patterson</t>
  </si>
  <si>
    <t>Michael Medin</t>
  </si>
  <si>
    <t>07/30/2021 at 15:17:29 UTC</t>
  </si>
  <si>
    <t>06/10/2024 at 15:39:04 UTC</t>
  </si>
  <si>
    <t>Objectivity</t>
  </si>
  <si>
    <t>10/25/2022 at 19:18:06 UTC</t>
  </si>
  <si>
    <t>01/06/2019 at 21:37:59 UTC</t>
  </si>
  <si>
    <t>Ollama</t>
  </si>
  <si>
    <t>Hyland Software</t>
  </si>
  <si>
    <t>01/05/2023 at 01:51:02 UTC</t>
  </si>
  <si>
    <t>OneLaunch</t>
  </si>
  <si>
    <t>ATAY LLC</t>
  </si>
  <si>
    <t>07/10/2020 at 14:34:12 UTC</t>
  </si>
  <si>
    <t>OnTrack</t>
  </si>
  <si>
    <t>Open API Initiative</t>
  </si>
  <si>
    <t>Open ID Foundation</t>
  </si>
  <si>
    <t>ForgeRock</t>
  </si>
  <si>
    <t>03/02/2020 at 10:03:27 UTC</t>
  </si>
  <si>
    <t>03/18/2024 at 23:44:58 UTC</t>
  </si>
  <si>
    <t>02/06/2023 at 20:28:08 UTC</t>
  </si>
  <si>
    <t>Userware</t>
  </si>
  <si>
    <t>03/08/2022 at 19:47:42 UTC</t>
  </si>
  <si>
    <t>09/12/2019 at 06:24:58 UTC</t>
  </si>
  <si>
    <t>12/14/2022 at 23:23:00 UTC</t>
  </si>
  <si>
    <t>01/30/2024 at 00:09:44 UTC</t>
  </si>
  <si>
    <t>OpenVPN</t>
  </si>
  <si>
    <t>Opera Software</t>
  </si>
  <si>
    <t>09/15/2020 at 12:44:46 UTC</t>
  </si>
  <si>
    <t>12/09/2022 at 20:11:07 UTC</t>
  </si>
  <si>
    <t>11/14/2022 at 17:41:44 UTC</t>
  </si>
  <si>
    <t>04/16/2019 at 08:02:55 UTC</t>
  </si>
  <si>
    <t>12/09/2024 at 16:13:28 UTC</t>
  </si>
  <si>
    <t>12/01/2020 at 15:39:13 UTC</t>
  </si>
  <si>
    <t>07/02/2024 at 20:03:27 UTC</t>
  </si>
  <si>
    <t>07/14/2022 at 19:58:03 UTC</t>
  </si>
  <si>
    <t>McAfee Foundstone</t>
  </si>
  <si>
    <t>04/30/2020 at 14:27:53 UTC</t>
  </si>
  <si>
    <t>12/20/2022 at 16:43:28 UTC</t>
  </si>
  <si>
    <t>PACOM</t>
  </si>
  <si>
    <t>Pagebreeze</t>
  </si>
  <si>
    <t>03/25/2024 at 15:24:04 UTC</t>
  </si>
  <si>
    <t>Pandoc</t>
  </si>
  <si>
    <t>08/30/2022 at 20:55:49 UTC</t>
  </si>
  <si>
    <t>Paramify</t>
  </si>
  <si>
    <t>11/25/2024 at 18:01:48 UTC</t>
  </si>
  <si>
    <t>10/04/2024 at 17:13:12 UTC</t>
  </si>
  <si>
    <t>Pentalogic Technology Ltd</t>
  </si>
  <si>
    <t>Raxco Software</t>
  </si>
  <si>
    <t>04/24/2024 at 18:28:26 UTC</t>
  </si>
  <si>
    <t>Perl Foundation</t>
  </si>
  <si>
    <t>06/21/2024 at 22:00:42 UTC</t>
  </si>
  <si>
    <t>OPW Fuel Management Systems</t>
  </si>
  <si>
    <t>12/26/2024 at 22:35:47 UTC</t>
  </si>
  <si>
    <t>Brno University of Technology</t>
  </si>
  <si>
    <t>Antonio Da Cruz</t>
  </si>
  <si>
    <t>06/14/2019 at 06:24:26 UTC</t>
  </si>
  <si>
    <t>Philip Helger</t>
  </si>
  <si>
    <t>PlanGrid</t>
  </si>
  <si>
    <t>08/28/2019 at 16:05:02 UTC</t>
  </si>
  <si>
    <t>01/11/2023 at 18:22:32 UTC</t>
  </si>
  <si>
    <t>Laboratory of Applied Pharmacokinetics and Bioinformatics</t>
  </si>
  <si>
    <t>07/29/2022 at 17:25:12 UTC</t>
  </si>
  <si>
    <t>Semantic Web Company</t>
  </si>
  <si>
    <t>Software995</t>
  </si>
  <si>
    <t>12/20/2023 at 19:03:02 UTC</t>
  </si>
  <si>
    <t>Marcelo Roberto Jimenez</t>
  </si>
  <si>
    <t>Comtrol</t>
  </si>
  <si>
    <t>06/04/2019 at 14:24:51 UTC</t>
  </si>
  <si>
    <t>12/12/2019 at 08:33:00 UTC</t>
  </si>
  <si>
    <t>Keith Dahlby</t>
  </si>
  <si>
    <t>Paul Ramsey</t>
  </si>
  <si>
    <t>ChristianSteven Software</t>
  </si>
  <si>
    <t>01/30/2024 at 01:10:28 UTC</t>
  </si>
  <si>
    <t>10/30/2023 at 18:41:37 UTC</t>
  </si>
  <si>
    <t>05/20/2024 at 17:25:11 UTC</t>
  </si>
  <si>
    <t>01/26/2021 at 08:54:22 UTC</t>
  </si>
  <si>
    <t>Subash Pathak</t>
  </si>
  <si>
    <t>05/16/2019 at 11:24:01 UTC</t>
  </si>
  <si>
    <t>11/08/2023 at 17:18:57 UTC</t>
  </si>
  <si>
    <t>Electronic Frontier Foundation</t>
  </si>
  <si>
    <t>Cybertron Software</t>
  </si>
  <si>
    <t>04/26/2022 at 00:55:15 UTC</t>
  </si>
  <si>
    <t>01/30/2024 at 01:10:33 UTC</t>
  </si>
  <si>
    <t>Explosion AI</t>
  </si>
  <si>
    <t>Jenoptik AG</t>
  </si>
  <si>
    <t>Bamboo Solutions</t>
  </si>
  <si>
    <t>Bentley Systems</t>
  </si>
  <si>
    <t>05/10/2023 at 01:23:04 UTC</t>
  </si>
  <si>
    <t>Felis Catus</t>
  </si>
  <si>
    <t>03/14/2024 at 15:09:21 UTC</t>
  </si>
  <si>
    <t>01/10/2020 at 08:54:47 UTC</t>
  </si>
  <si>
    <t>Psychtoolbox</t>
  </si>
  <si>
    <t>Open Science Tools LTD</t>
  </si>
  <si>
    <t>10/13/2022 at 21:20:26 UTC</t>
  </si>
  <si>
    <t>PuTTY</t>
  </si>
  <si>
    <t>07/23/2019 at 12:07:38 UTC</t>
  </si>
  <si>
    <t>11/23/2022 at 22:12:31 UTC</t>
  </si>
  <si>
    <t>QImaging</t>
  </si>
  <si>
    <t>11/26/2022 at 01:18:23 UTC</t>
  </si>
  <si>
    <t>01/30/2024 at 00:09:53 UTC</t>
  </si>
  <si>
    <t>01/30/2024 at 00:09:59 UTC</t>
  </si>
  <si>
    <t>10/25/2023 at 20:45:47 UTC</t>
  </si>
  <si>
    <t>09/21/2022 at 02:04:07 UTC</t>
  </si>
  <si>
    <t>Terracotta</t>
  </si>
  <si>
    <t>02/23/2024 at 14:30:44 UTC</t>
  </si>
  <si>
    <t>Questionmark Computing Limited</t>
  </si>
  <si>
    <t>12/09/2022 at 20:11:10 UTC</t>
  </si>
  <si>
    <t>07/12/2019 at 13:41:56 UTC</t>
  </si>
  <si>
    <t>Cogin</t>
  </si>
  <si>
    <t>07/23/2019 at 12:07:41 UTC</t>
  </si>
  <si>
    <t>Etymotic Research</t>
  </si>
  <si>
    <t>New England Survey Systems</t>
  </si>
  <si>
    <t>Radiance</t>
  </si>
  <si>
    <t>Harris</t>
  </si>
  <si>
    <t>Rain Bird</t>
  </si>
  <si>
    <t>03/13/2024 at 17:18:01 UTC</t>
  </si>
  <si>
    <t>06/18/2024 at 21:35:52 UTC</t>
  </si>
  <si>
    <t>07/30/2021 at 15:17:33 UTC</t>
  </si>
  <si>
    <t>07/30/2021 at 15:17:32 UTC</t>
  </si>
  <si>
    <t>Avian Waves</t>
  </si>
  <si>
    <t>Real-Statistics</t>
  </si>
  <si>
    <t>RealNetworks</t>
  </si>
  <si>
    <t>10/14/2024 at 01:22:58 UTC</t>
  </si>
  <si>
    <t>10/14/2024 at 01:22:59 UTC</t>
  </si>
  <si>
    <t>04/16/2020 at 14:49:38 UTC</t>
  </si>
  <si>
    <t>Redmine</t>
  </si>
  <si>
    <t>Virtual Imaging</t>
  </si>
  <si>
    <t>iDrive</t>
  </si>
  <si>
    <t>04/30/2019 at 16:38:27 UTC</t>
  </si>
  <si>
    <t>Kenneth Reitz</t>
  </si>
  <si>
    <t>05/08/2019 at 16:14:07 UTC</t>
  </si>
  <si>
    <t>RestSharp Community</t>
  </si>
  <si>
    <t>04/13/2020 at 08:14:14 UTC</t>
  </si>
  <si>
    <t>Celgene</t>
  </si>
  <si>
    <t>10/18/2022 at 17:41:12 UTC</t>
  </si>
  <si>
    <t>01/18/2024 at 02:52:18 UTC</t>
  </si>
  <si>
    <t>RingCentral</t>
  </si>
  <si>
    <t>04/15/2024 at 15:52:19 UTC</t>
  </si>
  <si>
    <t>3T Software Labs</t>
  </si>
  <si>
    <t>10/25/2022 at 01:42:32 UTC</t>
  </si>
  <si>
    <t>Code4ward</t>
  </si>
  <si>
    <t>Rubberduck</t>
  </si>
  <si>
    <t>07/15/2024 at 19:50:25 UTC</t>
  </si>
  <si>
    <t>Robware</t>
  </si>
  <si>
    <t>Gemalto</t>
  </si>
  <si>
    <t>SAGE</t>
  </si>
  <si>
    <t>SailPoint</t>
  </si>
  <si>
    <t>04/30/2020 at 14:27:52 UTC</t>
  </si>
  <si>
    <t>Sakai Project</t>
  </si>
  <si>
    <t>07/01/2024 at 19:39:36 UTC</t>
  </si>
  <si>
    <t>02/11/2021 at 08:38:19 UTC</t>
  </si>
  <si>
    <t>Samba</t>
  </si>
  <si>
    <t>03/27/2023 at 17:25:35 UTC</t>
  </si>
  <si>
    <t>09/18/2023 at 14:59:40 UTC</t>
  </si>
  <si>
    <t>Sharmahd Computing</t>
  </si>
  <si>
    <t>01/06/2019 at 21:38:37 UTC</t>
  </si>
  <si>
    <t>11/08/2021 at 18:38:14 UTC</t>
  </si>
  <si>
    <t>ScheduleView</t>
  </si>
  <si>
    <t>01/30/2020 at 13:00:15 UTC</t>
  </si>
  <si>
    <t>Big Nerd Software, LLC</t>
  </si>
  <si>
    <t>ScreenCloud</t>
  </si>
  <si>
    <t>10/31/2024 at 16:35:51 UTC</t>
  </si>
  <si>
    <t>Wisdom Software</t>
  </si>
  <si>
    <t>08/21/2019 at 07:10:52 UTC</t>
  </si>
  <si>
    <t>tricerat</t>
  </si>
  <si>
    <t>Colony Labs</t>
  </si>
  <si>
    <t>SeaMonkey Project</t>
  </si>
  <si>
    <t>01/28/2020 at 14:44:35 UTC</t>
  </si>
  <si>
    <t>10/27/2020 at 09:15:55 UTC</t>
  </si>
  <si>
    <t>Seek Thermal</t>
  </si>
  <si>
    <t>10/13/2022 at 14:25:56 UTC</t>
  </si>
  <si>
    <t>Segami Corp</t>
  </si>
  <si>
    <t>SelectorsHub</t>
  </si>
  <si>
    <t>07/10/2023 at 16:17:31 UTC</t>
  </si>
  <si>
    <t>Florent Breheret</t>
  </si>
  <si>
    <t>04/14/2022 at 01:40:42 UTC</t>
  </si>
  <si>
    <t>Vincent Voyer</t>
  </si>
  <si>
    <t>Sensu</t>
  </si>
  <si>
    <t>06/18/2020 at 10:56:38 UTC</t>
  </si>
  <si>
    <t>FMS</t>
  </si>
  <si>
    <t>08/07/2023 at 14:38:15 UTC</t>
  </si>
  <si>
    <t>09/01/2020 at 10:34:39 UTC</t>
  </si>
  <si>
    <t>04/30/2019 at 16:38:26 UTC</t>
  </si>
  <si>
    <t>Lantica Software LLC</t>
  </si>
  <si>
    <t>03/25/2019 at 10:29:00 UTC</t>
  </si>
  <si>
    <t>11/29/2023 at 19:30:05 UTC</t>
  </si>
  <si>
    <t>CodePlex</t>
  </si>
  <si>
    <t>10/16/2019 at 07:20:56 UTC</t>
  </si>
  <si>
    <t>06/19/2020 at 10:39:46 UTC</t>
  </si>
  <si>
    <t>Jean Gabes</t>
  </si>
  <si>
    <t>12/06/2022 at 02:46:49 UTC</t>
  </si>
  <si>
    <t>PresentationPoint</t>
  </si>
  <si>
    <t>07/09/2019 at 07:53:50 UTC</t>
  </si>
  <si>
    <t>Signal</t>
  </si>
  <si>
    <t>03/26/2024 at 16:10:53 UTC</t>
  </si>
  <si>
    <t>11/28/2018 at 07:50:11 UTC</t>
  </si>
  <si>
    <t>Haztek Software</t>
  </si>
  <si>
    <t>08/21/2019 at 07:10:54 UTC</t>
  </si>
  <si>
    <t>rlidwka</t>
  </si>
  <si>
    <t>12/21/2023 at 21:23:19 UTC</t>
  </si>
  <si>
    <t>iDP</t>
  </si>
  <si>
    <t>09/19/2024 at 17:25:28 UTC</t>
  </si>
  <si>
    <t>SmartDraw Software</t>
  </si>
  <si>
    <t>Esker</t>
  </si>
  <si>
    <t>i-SENS</t>
  </si>
  <si>
    <t>Zenitel</t>
  </si>
  <si>
    <t>10/16/2019 at 07:20:55 UTC</t>
  </si>
  <si>
    <t>QSM</t>
  </si>
  <si>
    <t>09/16/2022 at 19:27:15 UTC</t>
  </si>
  <si>
    <t>SolidCAM</t>
  </si>
  <si>
    <t>12/09/2022 at 20:11:16 UTC</t>
  </si>
  <si>
    <t>Andor</t>
  </si>
  <si>
    <t>09/10/2019 at 07:59:32 UTC</t>
  </si>
  <si>
    <t>03/27/2023 at 02:34:41 UTC</t>
  </si>
  <si>
    <t>SoundEar</t>
  </si>
  <si>
    <t>Versoworks</t>
  </si>
  <si>
    <t>08/21/2019 at 07:10:53 UTC</t>
  </si>
  <si>
    <t>09/16/2022 at 19:27:14 UTC</t>
  </si>
  <si>
    <t>Hankinson Consulting</t>
  </si>
  <si>
    <t>12/09/2022 at 20:11:18 UTC</t>
  </si>
  <si>
    <t>Darwin Felix</t>
  </si>
  <si>
    <t>09/26/2022 at 02:04:21 UTC</t>
  </si>
  <si>
    <t>12/09/2022 at 20:11:19 UTC</t>
  </si>
  <si>
    <t>04/06/2023 at 01:58:26 UTC</t>
  </si>
  <si>
    <t>01/05/2023 at 20:13:31 UTC</t>
  </si>
  <si>
    <t>02/14/2022 at 02:45:22 UTC</t>
  </si>
  <si>
    <t>BrightFort</t>
  </si>
  <si>
    <t>05/03/2023 at 03:31:29 UTC</t>
  </si>
  <si>
    <t>Medical Electronic Systems</t>
  </si>
  <si>
    <t>08/10/2021 at 01:52:53 UTC</t>
  </si>
  <si>
    <t>Staffbase</t>
  </si>
  <si>
    <t>08/10/2022 at 19:38:20 UTC</t>
  </si>
  <si>
    <t>05/19/2020 at 12:52:35 UTC</t>
  </si>
  <si>
    <t>PRO-ED Inc</t>
  </si>
  <si>
    <t>12/14/2018 at 11:43:24 UTC</t>
  </si>
  <si>
    <t>08/01/2023 at 17:24:56 UTC</t>
  </si>
  <si>
    <t>01/27/2020 at 11:49:12 UTC</t>
  </si>
  <si>
    <t>12/09/2022 at 20:11:21 UTC</t>
  </si>
  <si>
    <t>02/19/2021 at 16:41:22 UTC</t>
  </si>
  <si>
    <t>SQL Workbench</t>
  </si>
  <si>
    <t>01/14/2021 at 20:38:13 UTC</t>
  </si>
  <si>
    <t>12/07/2022 at 20:57:29 UTC</t>
  </si>
  <si>
    <t>Research Triangle Institute (RTI) International</t>
  </si>
  <si>
    <t>Nock Lab</t>
  </si>
  <si>
    <t>MAQ, LLC</t>
  </si>
  <si>
    <t>06/30/2020 at 15:38:25 UTC</t>
  </si>
  <si>
    <t>Pantaray Research</t>
  </si>
  <si>
    <t>Jim Radford</t>
  </si>
  <si>
    <t>NANOSystems</t>
  </si>
  <si>
    <t>03/06/2024 at 04:25:22 UTC</t>
  </si>
  <si>
    <t>OpenEye</t>
  </si>
  <si>
    <t>Construction Engineering Research Laboratory</t>
  </si>
  <si>
    <t>09/21/2022 at 02:04:18 UTC</t>
  </si>
  <si>
    <t>06/08/2021 at 19:12:59 UTC</t>
  </si>
  <si>
    <t>04/19/2024 at 03:49:25 UTC</t>
  </si>
  <si>
    <t>04/07/2019 at 21:07:55 UTC</t>
  </si>
  <si>
    <t>KeyScan Access Control Systems</t>
  </si>
  <si>
    <t>Lakeside</t>
  </si>
  <si>
    <t>09/16/2019 at 05:49:12 UTC</t>
  </si>
  <si>
    <t>DPS Telecom</t>
  </si>
  <si>
    <t>03/31/2020 at 10:51:04 UTC</t>
  </si>
  <si>
    <t>Cybathlon</t>
  </si>
  <si>
    <t>TagThatPhoto</t>
  </si>
  <si>
    <t>TCPDUMP</t>
  </si>
  <si>
    <t>11/05/2018 at 20:22:18 UTC</t>
  </si>
  <si>
    <t>Traction Software</t>
  </si>
  <si>
    <t>10/12/2022 at 17:42:21 UTC</t>
  </si>
  <si>
    <t>Telegram</t>
  </si>
  <si>
    <t>08/29/2019 at 15:17:56 UTC</t>
  </si>
  <si>
    <t>Tera Term</t>
  </si>
  <si>
    <t>07/09/2019 at 07:53:39 UTC</t>
  </si>
  <si>
    <t>TSplus</t>
  </si>
  <si>
    <t>05/12/2020 at 08:24:24 UTC</t>
  </si>
  <si>
    <t>Crystalnix Limited</t>
  </si>
  <si>
    <t>02/24/2020 at 12:44:01 UTC</t>
  </si>
  <si>
    <t>09/29/2023 at 17:30:39 UTC</t>
  </si>
  <si>
    <t>TeXstudio Developers</t>
  </si>
  <si>
    <t>iCIMS</t>
  </si>
  <si>
    <t>Slashback Software</t>
  </si>
  <si>
    <t>04/24/2024 at 18:28:40 UTC</t>
  </si>
  <si>
    <t>Nurgo Software</t>
  </si>
  <si>
    <t>08/27/2024 at 15:29:35 UTC</t>
  </si>
  <si>
    <t>12/20/2024 at 21:29:13 UTC</t>
  </si>
  <si>
    <t>Solution Soft</t>
  </si>
  <si>
    <t>09/27/2024 at 16:28:35 UTC</t>
  </si>
  <si>
    <t>05/05/2022 at 00:36:51 UTC</t>
  </si>
  <si>
    <t>02/14/2019 at 19:06:00 UTC</t>
  </si>
  <si>
    <t>TortoiseHg</t>
  </si>
  <si>
    <t>09/27/2024 at 16:28:36 UTC</t>
  </si>
  <si>
    <t>11/29/2024 at 20:47:33 UTC</t>
  </si>
  <si>
    <t>04/16/2019 at 08:02:53 UTC</t>
  </si>
  <si>
    <t>Kaizen Software Solutions</t>
  </si>
  <si>
    <t>04/07/2019 at 21:07:54 UTC</t>
  </si>
  <si>
    <t>11/26/2022 at 00:53:37 UTC</t>
  </si>
  <si>
    <t>Kaseya</t>
  </si>
  <si>
    <t>05/20/2024 at 17:25:03 UTC</t>
  </si>
  <si>
    <t>03/13/2024 at 17:25:02 UTC</t>
  </si>
  <si>
    <t>Thorasys</t>
  </si>
  <si>
    <t>01/14/2020 at 21:20:24 UTC</t>
  </si>
  <si>
    <t>TRENDnet</t>
  </si>
  <si>
    <t>03/27/2023 at 02:34:36 UTC</t>
  </si>
  <si>
    <t>Philippe Jounin</t>
  </si>
  <si>
    <t>ComponentOne</t>
  </si>
  <si>
    <t>Air Force Research Laboratory</t>
  </si>
  <si>
    <t>07/15/2020 at 10:46:34 UTC</t>
  </si>
  <si>
    <t>TurboCAD</t>
  </si>
  <si>
    <t>10/03/2022 at 19:03:57 UTC</t>
  </si>
  <si>
    <t>Savard Software</t>
  </si>
  <si>
    <t>03/27/2023 at 02:34:44 UTC</t>
  </si>
  <si>
    <t>Built by Bel</t>
  </si>
  <si>
    <t>TypeStrong</t>
  </si>
  <si>
    <t>02/08/2024 at 15:42:13 UTC</t>
  </si>
  <si>
    <t>Raymond Hill</t>
  </si>
  <si>
    <t>Ubuntu</t>
  </si>
  <si>
    <t>05/26/2020 at 10:24:42 UTC</t>
  </si>
  <si>
    <t>SDT Ultrasound Solutions</t>
  </si>
  <si>
    <t>04/26/2019 at 10:47:26 UTC</t>
  </si>
  <si>
    <t>02/10/2020 at 08:24:03 UTC</t>
  </si>
  <si>
    <t>Datacom Publishing</t>
  </si>
  <si>
    <t>09/02/2022 at 19:57:52 UTC</t>
  </si>
  <si>
    <t>Python Package Index</t>
  </si>
  <si>
    <t>01/05/2021 at 19:16:38 UTC</t>
  </si>
  <si>
    <t>utPLSQL</t>
  </si>
  <si>
    <t>03/31/2023 at 18:01:31 UTC</t>
  </si>
  <si>
    <t>The Open Group</t>
  </si>
  <si>
    <t>Unleash</t>
  </si>
  <si>
    <t>11/09/2020 at 12:12:06 UTC</t>
  </si>
  <si>
    <t>02/03/2023 at 15:01:50 UTC</t>
  </si>
  <si>
    <t>Ehler Tech</t>
  </si>
  <si>
    <t>BitTorrent</t>
  </si>
  <si>
    <t>04/28/2023 at 18:46:22 UTC</t>
  </si>
  <si>
    <t>04/05/2019 at 09:56:35 UTC</t>
  </si>
  <si>
    <t>03/20/2024 at 02:23:25 UTC</t>
  </si>
  <si>
    <t>Varnish Software</t>
  </si>
  <si>
    <t>03/11/2020 at 08:15:06 UTC</t>
  </si>
  <si>
    <t>Touch of Life Technologies Inc</t>
  </si>
  <si>
    <t>VideoLAN</t>
  </si>
  <si>
    <t>07/18/2022 at 18:22:51 UTC</t>
  </si>
  <si>
    <t>02/15/2021 at 20:20:59 UTC</t>
  </si>
  <si>
    <t>SignWarehouse</t>
  </si>
  <si>
    <t>VIP Quality Software Company</t>
  </si>
  <si>
    <t>05/07/2020 at 15:41:08 UTC</t>
  </si>
  <si>
    <t>04/01/2020 at 08:38:22 UTC</t>
  </si>
  <si>
    <t>12/20/2023 at 19:02:53 UTC</t>
  </si>
  <si>
    <t>Atomix Productions</t>
  </si>
  <si>
    <t>07/23/2019 at 12:07:47 UTC</t>
  </si>
  <si>
    <t>VirtuaWin</t>
  </si>
  <si>
    <t>Netop</t>
  </si>
  <si>
    <t>02/03/2020 at 08:29:49 UTC</t>
  </si>
  <si>
    <t>11/04/2024 at 17:12:05 UTC</t>
  </si>
  <si>
    <t>Marha</t>
  </si>
  <si>
    <t>03/26/2024 at 16:10:59 UTC</t>
  </si>
  <si>
    <t>11/25/2020 at 16:34:40 UTC</t>
  </si>
  <si>
    <t>10/30/2024 at 15:24:58 UTC</t>
  </si>
  <si>
    <t>11/04/2020 at 11:05:40 UTC</t>
  </si>
  <si>
    <t>04/13/2023 at 18:10:04 UTC</t>
  </si>
  <si>
    <t>03/31/2023 at 18:01:33 UTC</t>
  </si>
  <si>
    <t>Biamp</t>
  </si>
  <si>
    <t>Voiceitt</t>
  </si>
  <si>
    <t>Aquilatech</t>
  </si>
  <si>
    <t>07/23/2019 at 12:07:57 UTC</t>
  </si>
  <si>
    <t>Waterfox</t>
  </si>
  <si>
    <t>12/31/2019 at 07:59:04 UTC</t>
  </si>
  <si>
    <t>GroundTruth</t>
  </si>
  <si>
    <t>Ali Abdallah</t>
  </si>
  <si>
    <t>WebIssues Team</t>
  </si>
  <si>
    <t>04/26/2019 at 10:47:32 UTC</t>
  </si>
  <si>
    <t>04/26/2019 at 10:47:31 UTC</t>
  </si>
  <si>
    <t>Webmin</t>
  </si>
  <si>
    <t>02/07/2024 at 18:09:14 UTC</t>
  </si>
  <si>
    <t>Temasys</t>
  </si>
  <si>
    <t>ExclamationSOFT</t>
  </si>
  <si>
    <t>02/22/2021 at 21:50:05 UTC</t>
  </si>
  <si>
    <t>10/18/2022 at 17:41:03 UTC</t>
  </si>
  <si>
    <t>Waikato University</t>
  </si>
  <si>
    <t>09/30/2022 at 16:17:17 UTC</t>
  </si>
  <si>
    <t>01/25/2024 at 01:33:30 UTC</t>
  </si>
  <si>
    <t>Parker</t>
  </si>
  <si>
    <t>Wi-Fi Alliance</t>
  </si>
  <si>
    <t>10/14/2024 at 01:23:03 UTC</t>
  </si>
  <si>
    <t>Ai Squared</t>
  </si>
  <si>
    <t>08/06/2019 at 13:18:15 UTC</t>
  </si>
  <si>
    <t>12/15/2022 at 22:49:21 UTC</t>
  </si>
  <si>
    <t>04/29/2019 at 14:55:07 UTC</t>
  </si>
  <si>
    <t>pit-ray kazuu</t>
  </si>
  <si>
    <t>WIreMock</t>
  </si>
  <si>
    <t>01/25/2024 at 01:35:16 UTC</t>
  </si>
  <si>
    <t>GrayWolf Sensing Solutions</t>
  </si>
  <si>
    <t>08/07/2020 at 09:55:54 UTC</t>
  </si>
  <si>
    <t>Web Wonderland, Inc</t>
  </si>
  <si>
    <t>05/06/2019 at 08:34:39 UTC</t>
  </si>
  <si>
    <t>Lexically</t>
  </si>
  <si>
    <t>11/19/2020 at 15:53:50 UTC</t>
  </si>
  <si>
    <t>XLShare</t>
  </si>
  <si>
    <t>04/07/2020 at 08:22:08 UTC</t>
  </si>
  <si>
    <t>Interalia</t>
  </si>
  <si>
    <t>03/19/2024 at 00:47:16 UTC</t>
  </si>
  <si>
    <t>XnSoft</t>
  </si>
  <si>
    <t>Xodo Technologies Inc</t>
  </si>
  <si>
    <t>04/16/2020 at 14:49:39 UTC</t>
  </si>
  <si>
    <t>Glyph &amp; Cog</t>
  </si>
  <si>
    <t>08/24/2020 at 08:00:15 UTC</t>
  </si>
  <si>
    <t>Xymon</t>
  </si>
  <si>
    <t>10/16/2024 at 13:10:13 UTC</t>
  </si>
  <si>
    <t>XYplorer</t>
  </si>
  <si>
    <t>YTMDesktop</t>
  </si>
  <si>
    <t>01/18/2024 at 02:49:44 UTC</t>
  </si>
  <si>
    <t>Zlib</t>
  </si>
  <si>
    <t>03/18/2024 at 23:46:39 UTC</t>
  </si>
  <si>
    <t>Zovy LLC</t>
  </si>
  <si>
    <t>Qihoo 360</t>
  </si>
  <si>
    <t>08/12/2019 at 13:31:11 UTC</t>
  </si>
  <si>
    <t>06/28/2019 at 13:56:17 UTC</t>
  </si>
  <si>
    <t>04/30/2019 at 16:38:23 UTC</t>
  </si>
  <si>
    <t>06/28/2019 at 13:56:19 UTC</t>
  </si>
  <si>
    <t>06/21/2019 at 12:05:17 UTC</t>
  </si>
  <si>
    <t>01/11/2024 at 17:00:47 UTC</t>
  </si>
  <si>
    <t>07/16/2019 at 10:40:40 UTC</t>
  </si>
  <si>
    <t>Alentum Software</t>
  </si>
  <si>
    <t>06/21/2019 at 12:05:19 UTC</t>
  </si>
  <si>
    <t>Aprelium</t>
  </si>
  <si>
    <t>Alexander Vigovsky</t>
  </si>
  <si>
    <t>07/16/2019 at 10:40:44 UTC</t>
  </si>
  <si>
    <t>AcroCAD Software</t>
  </si>
  <si>
    <t>05/23/2019 at 11:51:55 UTC</t>
  </si>
  <si>
    <t>Field Effect</t>
  </si>
  <si>
    <t>11/14/2022 at 17:41:48 UTC</t>
  </si>
  <si>
    <t>3D4Medical</t>
  </si>
  <si>
    <t>12/02/2022 at 02:34:08 UTC</t>
  </si>
  <si>
    <t>AccuMed</t>
  </si>
  <si>
    <t>02/20/2020 at 08:28:10 UTC</t>
  </si>
  <si>
    <t>03/20/2024 at 02:22:48 UTC</t>
  </si>
  <si>
    <t>AccuProcess</t>
  </si>
  <si>
    <t>06/21/2019 at 12:05:21 UTC</t>
  </si>
  <si>
    <t>Cjwdev</t>
  </si>
  <si>
    <t>06/21/2019 at 12:05:26 UTC</t>
  </si>
  <si>
    <t>08/29/2022 at 15:29:26 UTC</t>
  </si>
  <si>
    <t>09/04/2020 at 09:19:13 UTC</t>
  </si>
  <si>
    <t>ActiveNavigation</t>
  </si>
  <si>
    <t>Advisory Board Company</t>
  </si>
  <si>
    <t>03/16/2022 at 23:52:22 UTC</t>
  </si>
  <si>
    <t>Mikey Magic technologies</t>
  </si>
  <si>
    <t>06/18/2019 at 09:37:24 UTC</t>
  </si>
  <si>
    <t>Advanced System Concepts</t>
  </si>
  <si>
    <t>04/02/2024 at 02:04:56 UTC</t>
  </si>
  <si>
    <t>08/06/2019 at 12:30:26 UTC</t>
  </si>
  <si>
    <t>10/30/2020 at 12:24:27 UTC</t>
  </si>
  <si>
    <t>05/11/2022 at 02:40:53 UTC</t>
  </si>
  <si>
    <t>Eyeo</t>
  </si>
  <si>
    <t>01/31/2023 at 03:11:04 UTC</t>
  </si>
  <si>
    <t>07/09/2019 at 15:10:27 UTC</t>
  </si>
  <si>
    <t>09/08/2020 at 21:04:03 UTC</t>
  </si>
  <si>
    <t>06/18/2019 at 14:25:53 UTC</t>
  </si>
  <si>
    <t>09/10/2019 at 07:59:37 UTC</t>
  </si>
  <si>
    <t>10/02/2019 at 07:58:51 UTC</t>
  </si>
  <si>
    <t>11/01/2018 at 06:44:45 UTC</t>
  </si>
  <si>
    <t>06/27/2019 at 12:47:39 UTC</t>
  </si>
  <si>
    <t>07/23/2019 at 12:07:51 UTC</t>
  </si>
  <si>
    <t>07/12/2019 at 13:42:15 UTC</t>
  </si>
  <si>
    <t>11/16/2018 at 10:01:58 UTC</t>
  </si>
  <si>
    <t>09/13/2019 at 09:46:41 UTC</t>
  </si>
  <si>
    <t>09/16/2019 at 05:49:14 UTC</t>
  </si>
  <si>
    <t>11/05/2019 at 06:51:17 UTC</t>
  </si>
  <si>
    <t>05/06/2019 at 08:31:00 UTC</t>
  </si>
  <si>
    <t>06/10/2019 at 08:55:16 UTC</t>
  </si>
  <si>
    <t>02/27/2020 at 07:27:28 UTC</t>
  </si>
  <si>
    <t>06/18/2019 at 14:26:11 UTC</t>
  </si>
  <si>
    <t>06/18/2019 at 14:26:17 UTC</t>
  </si>
  <si>
    <t>07/12/2019 at 13:42:12 UTC</t>
  </si>
  <si>
    <t>08/23/2019 at 14:08:25 UTC</t>
  </si>
  <si>
    <t>Caphyon</t>
  </si>
  <si>
    <t>Isensix</t>
  </si>
  <si>
    <t>Agamon Health</t>
  </si>
  <si>
    <t>03/15/2019 at 11:08:31 UTC</t>
  </si>
  <si>
    <t>Agantty GmbH</t>
  </si>
  <si>
    <t>12/26/2023 at 13:44:21 UTC</t>
  </si>
  <si>
    <t>Aidin</t>
  </si>
  <si>
    <t>Sierra Wireless</t>
  </si>
  <si>
    <t>03/24/2019 at 21:18:32 UTC</t>
  </si>
  <si>
    <t>Alcohol Soft</t>
  </si>
  <si>
    <t>07/12/2019 at 13:41:59 UTC</t>
  </si>
  <si>
    <t>Algo Solutions</t>
  </si>
  <si>
    <t>ALLPlayer Group</t>
  </si>
  <si>
    <t>06/18/2019 at 14:27:05 UTC</t>
  </si>
  <si>
    <t>Unication USA</t>
  </si>
  <si>
    <t>ProteinSimple</t>
  </si>
  <si>
    <t>11/01/2022 at 15:15:04 UTC</t>
  </si>
  <si>
    <t>05/04/2020 at 12:10:19 UTC</t>
  </si>
  <si>
    <t>American Automobile Association</t>
  </si>
  <si>
    <t>The American Board of Neurological Surgery (ABNS)</t>
  </si>
  <si>
    <t>American Foundation for the Blind</t>
  </si>
  <si>
    <t>01/22/2020 at 12:47:14 UTC</t>
  </si>
  <si>
    <t>500 Tech LTD</t>
  </si>
  <si>
    <t>Optical Diagnostics</t>
  </si>
  <si>
    <t>05/27/2020 at 14:17:35 UTC</t>
  </si>
  <si>
    <t>Bert Huijben</t>
  </si>
  <si>
    <t>05/03/2023 at 16:52:52 UTC</t>
  </si>
  <si>
    <t>04/24/2024 at 18:27:59 UTC</t>
  </si>
  <si>
    <t>Alpha II</t>
  </si>
  <si>
    <t>Ant-Contrib Project</t>
  </si>
  <si>
    <t>04/26/2019 at 10:47:27 UTC</t>
  </si>
  <si>
    <t>Arshan Dabirsiaghi</t>
  </si>
  <si>
    <t>AnvSoft</t>
  </si>
  <si>
    <t>AnyDWG</t>
  </si>
  <si>
    <t>06/14/2019 at 06:24:29 UTC</t>
  </si>
  <si>
    <t>AHA-Soft</t>
  </si>
  <si>
    <t>02/22/2024 at 03:38:25 UTC</t>
  </si>
  <si>
    <t>AnyMP4</t>
  </si>
  <si>
    <t>06/18/2019 at 14:27:18 UTC</t>
  </si>
  <si>
    <t>01/25/2019 at 13:51:55 UTC</t>
  </si>
  <si>
    <t>08/29/2024 at 15:54:57 UTC</t>
  </si>
  <si>
    <t>A-PDF Affordable PDF Tools</t>
  </si>
  <si>
    <t>A-PDF</t>
  </si>
  <si>
    <t>07/20/2020 at 14:54:54 UTC</t>
  </si>
  <si>
    <t>Apollo Enterprise Imaging</t>
  </si>
  <si>
    <t>06/14/2019 at 06:24:24 UTC</t>
  </si>
  <si>
    <t>06/21/2019 at 12:05:41 UTC</t>
  </si>
  <si>
    <t>Interton</t>
  </si>
  <si>
    <t>04/09/2019 at 13:54:26 UTC</t>
  </si>
  <si>
    <t>Jacob Schreiber</t>
  </si>
  <si>
    <t>Aptana</t>
  </si>
  <si>
    <t>08/21/2020 at 13:26:16 UTC</t>
  </si>
  <si>
    <t>Audio Precision</t>
  </si>
  <si>
    <t>a2e</t>
  </si>
  <si>
    <t>11/30/2023 at 17:15:46 UTC</t>
  </si>
  <si>
    <t>ArcSoft</t>
  </si>
  <si>
    <t>06/22/2019 at 16:37:30 UTC</t>
  </si>
  <si>
    <t>10/17/2019 at 14:44:15 UTC</t>
  </si>
  <si>
    <t>07/12/2019 at 13:42:03 UTC</t>
  </si>
  <si>
    <t>PlateSmart Technologies</t>
  </si>
  <si>
    <t>NITRC</t>
  </si>
  <si>
    <t>01/30/2024 at 00:10:38 UTC</t>
  </si>
  <si>
    <t>04/26/2019 at 10:47:25 UTC</t>
  </si>
  <si>
    <t>05/06/2019 at 08:31:01 UTC</t>
  </si>
  <si>
    <t>ASG Software Solutions</t>
  </si>
  <si>
    <t>Ashampoo</t>
  </si>
  <si>
    <t>08/12/2019 at 13:31:12 UTC</t>
  </si>
  <si>
    <t>Asiga</t>
  </si>
  <si>
    <t>APN</t>
  </si>
  <si>
    <t>01/30/2015 at 14:40:25 UTC</t>
  </si>
  <si>
    <t>AOP Alliance</t>
  </si>
  <si>
    <t>Jonas Boner</t>
  </si>
  <si>
    <t>01/30/2019 at 11:34:25 UTC</t>
  </si>
  <si>
    <t>05/21/2019 at 15:16:08 UTC</t>
  </si>
  <si>
    <t>SDI Diagnostics</t>
  </si>
  <si>
    <t>AstroComma</t>
  </si>
  <si>
    <t>02/05/2024 at 18:06:38 UTC</t>
  </si>
  <si>
    <t>Asure Software</t>
  </si>
  <si>
    <t>11/14/2019 at 09:44:20 UTC</t>
  </si>
  <si>
    <t>11/04/2020 at 11:05:38 UTC</t>
  </si>
  <si>
    <t>Atelier Web</t>
  </si>
  <si>
    <t>06/22/2020 at 13:47:23 UTC</t>
  </si>
  <si>
    <t>Audible</t>
  </si>
  <si>
    <t>Audiograbber</t>
  </si>
  <si>
    <t>Sargent &amp; Greenleaf</t>
  </si>
  <si>
    <t>02/14/2019 at 10:53:16 UTC</t>
  </si>
  <si>
    <t>Auslogics</t>
  </si>
  <si>
    <t>05/08/2023 at 17:39:34 UTC</t>
  </si>
  <si>
    <t>Auslogics Labs Pty Ltd</t>
  </si>
  <si>
    <t>10/06/2020 at 08:52:46 UTC</t>
  </si>
  <si>
    <t>AutoMail</t>
  </si>
  <si>
    <t>Autofac Contributors</t>
  </si>
  <si>
    <t>03/08/2024 at 03:43:24 UTC</t>
  </si>
  <si>
    <t>07/19/2024 at 02:54:55 UTC</t>
  </si>
  <si>
    <t>Avant Force</t>
  </si>
  <si>
    <t>06/28/2019 at 13:56:15 UTC</t>
  </si>
  <si>
    <t>06/11/2019 at 08:15:57 UTC</t>
  </si>
  <si>
    <t>07/01/2019 at 12:06:49 UTC</t>
  </si>
  <si>
    <t>01/24/2024 at 03:40:51 UTC</t>
  </si>
  <si>
    <t>06/18/2019 at 14:28:37 UTC</t>
  </si>
  <si>
    <t>01/28/2021 at 15:08:22 UTC</t>
  </si>
  <si>
    <t>Vitec</t>
  </si>
  <si>
    <t>04/01/2024 at 02:08:17 UTC</t>
  </si>
  <si>
    <t>10/07/2022 at 02:21:52 UTC</t>
  </si>
  <si>
    <t>04/30/2020 at 14:27:54 UTC</t>
  </si>
  <si>
    <t>AweSun</t>
  </si>
  <si>
    <t>03/06/2024 at 04:24:25 UTC</t>
  </si>
  <si>
    <t>AxCrypt</t>
  </si>
  <si>
    <t>02/16/2023 at 18:14:51 UTC</t>
  </si>
  <si>
    <t>Aycan Medical Systems</t>
  </si>
  <si>
    <t>03/31/2020 at 10:49:42 UTC</t>
  </si>
  <si>
    <t>BabelJS</t>
  </si>
  <si>
    <t>08/28/2019 at 16:10:29 UTC</t>
  </si>
  <si>
    <t>08/14/2019 at 12:51:43 UTC</t>
  </si>
  <si>
    <t>Carl Lejuez</t>
  </si>
  <si>
    <t>Bandicam</t>
  </si>
  <si>
    <t>Bottomline Technologies</t>
  </si>
  <si>
    <t>Jameson Little</t>
  </si>
  <si>
    <t>Cocobolo Software, LLC</t>
  </si>
  <si>
    <t>Alber</t>
  </si>
  <si>
    <t>10/25/2022 at 17:00:48 UTC</t>
  </si>
  <si>
    <t>Clinical Researcher</t>
  </si>
  <si>
    <t>03/19/2024 at 00:47:26 UTC</t>
  </si>
  <si>
    <t>AFG Training Technology, LLC</t>
  </si>
  <si>
    <t>Keith Rarick</t>
  </si>
  <si>
    <t>02/06/2024 at 02:01:07 UTC</t>
  </si>
  <si>
    <t>05/03/2023 at 03:30:23 UTC</t>
  </si>
  <si>
    <t>Benjamin Rose Institute on Aging (BRI)</t>
  </si>
  <si>
    <t>Benthic Software</t>
  </si>
  <si>
    <t>07/10/2020 at 14:30:25 UTC</t>
  </si>
  <si>
    <t>Bernoulli Health</t>
  </si>
  <si>
    <t>04/21/2020 at 11:19:59 UTC</t>
  </si>
  <si>
    <t>Adam Maxwell</t>
  </si>
  <si>
    <t>06/28/2019 at 13:56:13 UTC</t>
  </si>
  <si>
    <t>08/19/2019 at 07:36:05 UTC</t>
  </si>
  <si>
    <t>Gas Technology Institute (gti)</t>
  </si>
  <si>
    <t>05/29/2020 at 11:23:24 UTC</t>
  </si>
  <si>
    <t>Biotronik</t>
  </si>
  <si>
    <t>11/23/2022 at 21:47:09 UTC</t>
  </si>
  <si>
    <t>03/20/2020 at 14:50:47 UTC</t>
  </si>
  <si>
    <t>Bitcentral</t>
  </si>
  <si>
    <t>07/16/2024 at 16:21:35 UTC</t>
  </si>
  <si>
    <t>Black Box</t>
  </si>
  <si>
    <t>09/23/2021 at 01:44:58 UTC</t>
  </si>
  <si>
    <t>06/28/2019 at 13:56:11 UTC</t>
  </si>
  <si>
    <t>Larson Davis</t>
  </si>
  <si>
    <t>BlazeVideo</t>
  </si>
  <si>
    <t>BleachBit</t>
  </si>
  <si>
    <t>04/05/2019 at 09:56:22 UTC</t>
  </si>
  <si>
    <t>Blueforce Development</t>
  </si>
  <si>
    <t>01/05/2023 at 01:50:56 UTC</t>
  </si>
  <si>
    <t>10/31/2024 at 16:35:53 UTC</t>
  </si>
  <si>
    <t>10/03/2022 at 19:03:50 UTC</t>
  </si>
  <si>
    <t>FotoFinder Systems, Inc</t>
  </si>
  <si>
    <t>Blurb</t>
  </si>
  <si>
    <t>PayPal</t>
  </si>
  <si>
    <t>Bower</t>
  </si>
  <si>
    <t>03/16/2021 at 15:07:48 UTC</t>
  </si>
  <si>
    <t>Brave</t>
  </si>
  <si>
    <t>03/20/2023 at 16:29:06 UTC</t>
  </si>
  <si>
    <t>Virtually Better</t>
  </si>
  <si>
    <t>Brillians</t>
  </si>
  <si>
    <t>03/20/2023 at 16:29:05 UTC</t>
  </si>
  <si>
    <t>10/31/2024 at 16:35:49 UTC</t>
  </si>
  <si>
    <t>Alexej Hirsch</t>
  </si>
  <si>
    <t>Bugzilla</t>
  </si>
  <si>
    <t>08/02/2023 at 15:21:15 UTC</t>
  </si>
  <si>
    <t>lh3</t>
  </si>
  <si>
    <t>04/02/2024 at 02:04:51 UTC</t>
  </si>
  <si>
    <t>Biztree</t>
  </si>
  <si>
    <t>Denys Vlasenko</t>
  </si>
  <si>
    <t>Steve Waldman</t>
  </si>
  <si>
    <t>02/13/2020 at 16:11:25 UTC</t>
  </si>
  <si>
    <t>07/08/2019 at 13:06:04 UTC</t>
  </si>
  <si>
    <t>02/03/2021 at 13:10:03 UTC</t>
  </si>
  <si>
    <t>Zhorn Software</t>
  </si>
  <si>
    <t>Wan Qi Chen</t>
  </si>
  <si>
    <t>02/26/2019 at 08:11:32 UTC</t>
  </si>
  <si>
    <t>BandLab</t>
  </si>
  <si>
    <t>07/23/2019 at 12:07:58 UTC</t>
  </si>
  <si>
    <t>08/23/2019 at 14:08:26 UTC</t>
  </si>
  <si>
    <t>Calendly</t>
  </si>
  <si>
    <t>09/29/2020 at 08:46:00 UTC</t>
  </si>
  <si>
    <t>Double Black Imaging</t>
  </si>
  <si>
    <t>01/25/2023 at 03:17:46 UTC</t>
  </si>
  <si>
    <t>06/16/2020 at 07:59:39 UTC</t>
  </si>
  <si>
    <t>12/20/2023 at 19:02:48 UTC</t>
  </si>
  <si>
    <t>06/30/2020 at 16:04:56 UTC</t>
  </si>
  <si>
    <t>08/13/2019 at 06:57:17 UTC</t>
  </si>
  <si>
    <t>03/22/2023 at 16:47:09 UTC</t>
  </si>
  <si>
    <t>01/05/2023 at 01:50:53 UTC</t>
  </si>
  <si>
    <t>07/09/2019 at 07:53:47 UTC</t>
  </si>
  <si>
    <t>QUALCOMM</t>
  </si>
  <si>
    <t>Accu-Scope</t>
  </si>
  <si>
    <t>Bombich</t>
  </si>
  <si>
    <t>06/28/2019 at 13:56:18 UTC</t>
  </si>
  <si>
    <t>03/14/2024 at 16:04:14 UTC</t>
  </si>
  <si>
    <t>American TeleCare</t>
  </si>
  <si>
    <t>04/10/2019 at 12:14:41 UTC</t>
  </si>
  <si>
    <t>IEEE</t>
  </si>
  <si>
    <t>Capsa Solutions, LLC</t>
  </si>
  <si>
    <t>CasperJS</t>
  </si>
  <si>
    <t>10/21/2020 at 14:23:51 UTC</t>
  </si>
  <si>
    <t>The Galileo Company</t>
  </si>
  <si>
    <t>Cogniview</t>
  </si>
  <si>
    <t>Piriform</t>
  </si>
  <si>
    <t>Kodak</t>
  </si>
  <si>
    <t>09/10/2019 at 07:59:34 UTC</t>
  </si>
  <si>
    <t>Mauna Kea Technologies</t>
  </si>
  <si>
    <t>11/01/2018 at 06:46:11 UTC</t>
  </si>
  <si>
    <t>07/27/2020 at 14:42:37 UTC</t>
  </si>
  <si>
    <t>07/12/2019 at 13:42:09 UTC</t>
  </si>
  <si>
    <t>03/15/2019 at 11:09:01 UTC</t>
  </si>
  <si>
    <t>Product Hunt</t>
  </si>
  <si>
    <t>08/17/2022 at 19:38:58 UTC</t>
  </si>
  <si>
    <t>02/27/2019 at 08:09:48 UTC</t>
  </si>
  <si>
    <t>08/26/2020 at 16:31:50 UTC</t>
  </si>
  <si>
    <t>Georgia Tech Research Institute</t>
  </si>
  <si>
    <t>Major Focus</t>
  </si>
  <si>
    <t>07/23/2019 at 12:07:52 UTC</t>
  </si>
  <si>
    <t>Autonomiq</t>
  </si>
  <si>
    <t>01/18/2023 at 02:29:53 UTC</t>
  </si>
  <si>
    <t>Chyron Hego</t>
  </si>
  <si>
    <t>08/03/2020 at 21:15:21 UTC</t>
  </si>
  <si>
    <t>04/29/2019 at 14:55:09 UTC</t>
  </si>
  <si>
    <t>01/10/2019 at 20:16:40 UTC</t>
  </si>
  <si>
    <t>07/09/2019 at 07:53:49 UTC</t>
  </si>
  <si>
    <t>07/09/2019 at 07:53:48 UTC</t>
  </si>
  <si>
    <t>07/09/2019 at 07:53:46 UTC</t>
  </si>
  <si>
    <t>Tevron</t>
  </si>
  <si>
    <t>05/07/2020 at 15:41:05 UTC</t>
  </si>
  <si>
    <t>AAMC</t>
  </si>
  <si>
    <t>11/25/2019 at 15:50:03 UTC</t>
  </si>
  <si>
    <t>12/22/2023 at 20:35:48 UTC</t>
  </si>
  <si>
    <t>09/24/2024 at 16:22:08 UTC</t>
  </si>
  <si>
    <t>Synaptive Medical</t>
  </si>
  <si>
    <t>08/18/2020 at 08:51:37 UTC</t>
  </si>
  <si>
    <t>ClearContext Corporation</t>
  </si>
  <si>
    <t>Clementine</t>
  </si>
  <si>
    <t>07/11/2019 at 07:32:54 UTC</t>
  </si>
  <si>
    <t>Invisalign G6</t>
  </si>
  <si>
    <t>10/05/2022 at 00:48:50 UTC</t>
  </si>
  <si>
    <t>07/02/2019 at 12:11:47 UTC</t>
  </si>
  <si>
    <t>ClipGrab</t>
  </si>
  <si>
    <t>08/02/2023 at 15:21:12 UTC</t>
  </si>
  <si>
    <t>Parallel Drive</t>
  </si>
  <si>
    <t>Sarach Technologies</t>
  </si>
  <si>
    <t>Codan Communications</t>
  </si>
  <si>
    <t>02/12/2024 at 20:36:21 UTC</t>
  </si>
  <si>
    <t>08/23/2019 at 12:03:42 UTC</t>
  </si>
  <si>
    <t>11/15/2024 at 22:28:44 UTC</t>
  </si>
  <si>
    <t>The American Orthotic &amp; Prosthetic Association</t>
  </si>
  <si>
    <t>11/16/2018 at 13:01:55 UTC</t>
  </si>
  <si>
    <t>Concurrent Technologies Corporation</t>
  </si>
  <si>
    <t>12/04/2018 at 13:07:47 UTC</t>
  </si>
  <si>
    <t>ColorCop</t>
  </si>
  <si>
    <t>10/29/2019 at 08:56:32 UTC</t>
  </si>
  <si>
    <t>Kohsuke Kawaguchi</t>
  </si>
  <si>
    <t>07/15/2021 at 20:42:47 UTC</t>
  </si>
  <si>
    <t>07/23/2019 at 13:05:28 UTC</t>
  </si>
  <si>
    <t>05/08/2019 at 16:14:11 UTC</t>
  </si>
  <si>
    <t>01/03/2024 at 04:39:50 UTC</t>
  </si>
  <si>
    <t>Raritan</t>
  </si>
  <si>
    <t>12/25/2019 at 07:41:56 UTC</t>
  </si>
  <si>
    <t>01/28/2020 at 14:44:37 UTC</t>
  </si>
  <si>
    <t>Grig Software</t>
  </si>
  <si>
    <t>Widex</t>
  </si>
  <si>
    <t>CS-RCS GmbH</t>
  </si>
  <si>
    <t>05/23/2019 at 11:52:07 UTC</t>
  </si>
  <si>
    <t>03/26/2019 at 07:44:55 UTC</t>
  </si>
  <si>
    <t>University of Florida Department of Epidemiology</t>
  </si>
  <si>
    <t>Loren West</t>
  </si>
  <si>
    <t>06/18/2019 at 14:34:05 UTC</t>
  </si>
  <si>
    <t>08/17/2022 at 19:38:57 UTC</t>
  </si>
  <si>
    <t>Connectify</t>
  </si>
  <si>
    <t>04/13/2020 at 08:14:11 UTC</t>
  </si>
  <si>
    <t>Marko Bozikovic</t>
  </si>
  <si>
    <t>Fusion</t>
  </si>
  <si>
    <t>07/12/2019 at 13:42:07 UTC</t>
  </si>
  <si>
    <t>ContactGenie</t>
  </si>
  <si>
    <t>08/21/2020 at 13:26:18 UTC</t>
  </si>
  <si>
    <t>CI Factory</t>
  </si>
  <si>
    <t>05/08/2019 at 16:14:15 UTC</t>
  </si>
  <si>
    <t>Trend Micro</t>
  </si>
  <si>
    <t>07/08/2019 at 13:06:05 UTC</t>
  </si>
  <si>
    <t>11/01/2022 at 02:21:02 UTC</t>
  </si>
  <si>
    <t>Blue Tail</t>
  </si>
  <si>
    <t>12/13/2019 at 12:13:32 UTC</t>
  </si>
  <si>
    <t>Cosmic Software</t>
  </si>
  <si>
    <t>C-Pen</t>
  </si>
  <si>
    <t>10/01/2019 at 14:46:58 UTC</t>
  </si>
  <si>
    <t>FARO</t>
  </si>
  <si>
    <t>Biddle Consulting Group</t>
  </si>
  <si>
    <t>Rafael Milewski</t>
  </si>
  <si>
    <t>11/25/2024 at 18:02:00 UTC</t>
  </si>
  <si>
    <t>Carrot Medical, LLC</t>
  </si>
  <si>
    <t>08/18/2020 at 08:52:38 UTC</t>
  </si>
  <si>
    <t>Colorado University</t>
  </si>
  <si>
    <t>07/24/2020 at 09:24:37 UTC</t>
  </si>
  <si>
    <t>Telstrat</t>
  </si>
  <si>
    <t>CyberGhost</t>
  </si>
  <si>
    <t>04/26/2023 at 01:58:20 UTC</t>
  </si>
  <si>
    <t>07/31/2019 at 14:16:08 UTC</t>
  </si>
  <si>
    <t>CyberScrub, LLC</t>
  </si>
  <si>
    <t>Cylance</t>
  </si>
  <si>
    <t>09/16/2020 at 11:56:49 UTC</t>
  </si>
  <si>
    <t>02/14/2019 at 10:53:12 UTC</t>
  </si>
  <si>
    <t>Extech</t>
  </si>
  <si>
    <t>09/01/2022 at 20:19:39 UTC</t>
  </si>
  <si>
    <t>SAITECH</t>
  </si>
  <si>
    <t>03/16/2021 at 15:37:42 UTC</t>
  </si>
  <si>
    <t>Arrah Technology</t>
  </si>
  <si>
    <t>08/10/2022 at 19:54:43 UTC</t>
  </si>
  <si>
    <t>03/31/2020 at 10:49:43 UTC</t>
  </si>
  <si>
    <t>01/10/2019 at 20:34:33 UTC</t>
  </si>
  <si>
    <t>Entrust Datacard</t>
  </si>
  <si>
    <t>Datakey</t>
  </si>
  <si>
    <t>04/13/2020 at 08:14:09 UTC</t>
  </si>
  <si>
    <t>Chauvin Arnoux</t>
  </si>
  <si>
    <t>Datron</t>
  </si>
  <si>
    <t>02/13/2020 at 13:48:40 UTC</t>
  </si>
  <si>
    <t>Gradkell Systems</t>
  </si>
  <si>
    <t>DbUnit</t>
  </si>
  <si>
    <t>09/24/2020 at 10:30:45 UTC</t>
  </si>
  <si>
    <t>DebugMode</t>
  </si>
  <si>
    <t>12/13/2021 at 17:38:29 UTC</t>
  </si>
  <si>
    <t>Decimal</t>
  </si>
  <si>
    <t>Decipher Tools</t>
  </si>
  <si>
    <t>03/02/2020 at 10:09:36 UTC</t>
  </si>
  <si>
    <t>Astonsoft</t>
  </si>
  <si>
    <t>04/19/2024 at 03:49:16 UTC</t>
  </si>
  <si>
    <t>04/09/2019 at 13:54:22 UTC</t>
  </si>
  <si>
    <t>03/14/2024 at 16:04:29 UTC</t>
  </si>
  <si>
    <t>Avanquest</t>
  </si>
  <si>
    <t>05/26/2020 at 10:24:34 UTC</t>
  </si>
  <si>
    <t>08/31/2020 at 15:04:06 UTC</t>
  </si>
  <si>
    <t>01/14/2021 at 11:58:58 UTC</t>
  </si>
  <si>
    <t>06/29/2022 at 18:21:44 UTC</t>
  </si>
  <si>
    <t>VisualMED</t>
  </si>
  <si>
    <t>02/01/2019 at 09:46:18 UTC</t>
  </si>
  <si>
    <t>Philippe PUECH</t>
  </si>
  <si>
    <t>03/20/2019 at 15:35:19 UTC</t>
  </si>
  <si>
    <t>06/28/2019 at 13:56:12 UTC</t>
  </si>
  <si>
    <t>Randall Penfield</t>
  </si>
  <si>
    <t>win7gadgets</t>
  </si>
  <si>
    <t>12/06/2023 at 02:43:59 UTC</t>
  </si>
  <si>
    <t>Jim Irrer</t>
  </si>
  <si>
    <t>10/29/2024 at 19:18:15 UTC</t>
  </si>
  <si>
    <t>Cardioline</t>
  </si>
  <si>
    <t>NEHS DIGITAL</t>
  </si>
  <si>
    <t>06/10/2019 at 08:55:08 UTC</t>
  </si>
  <si>
    <t>05/16/2019 at 11:24:06 UTC</t>
  </si>
  <si>
    <t>05/29/2019 at 12:46:12 UTC</t>
  </si>
  <si>
    <t>02/20/2020 at 08:28:11 UTC</t>
  </si>
  <si>
    <t>08/28/2019 at 16:02:51 UTC</t>
  </si>
  <si>
    <t>01/23/2020 at 12:52:12 UTC</t>
  </si>
  <si>
    <t>Discover Technologies</t>
  </si>
  <si>
    <t>07/12/2019 at 13:42:14 UTC</t>
  </si>
  <si>
    <t>Disk Genius</t>
  </si>
  <si>
    <t>Alsoft</t>
  </si>
  <si>
    <t>DJVU Universe</t>
  </si>
  <si>
    <t>Dllkit Pro</t>
  </si>
  <si>
    <t>AvePoint</t>
  </si>
  <si>
    <t>A&amp;D Medical</t>
  </si>
  <si>
    <t>01/10/2019 at 20:35:57 UTC</t>
  </si>
  <si>
    <t>02/12/2024 at 03:27:28 UTC</t>
  </si>
  <si>
    <t>MSCRM-Addons</t>
  </si>
  <si>
    <t>Krengeltech</t>
  </si>
  <si>
    <t>07/31/2020 at 13:50:19 UTC</t>
  </si>
  <si>
    <t>DokuWiki</t>
  </si>
  <si>
    <t>Health Net Federal Services</t>
  </si>
  <si>
    <t>10/17/2018 at 13:07:45 UTC</t>
  </si>
  <si>
    <t>06/28/2019 at 13:56:07 UTC</t>
  </si>
  <si>
    <t>DOSBox Crew</t>
  </si>
  <si>
    <t>DinoChiesa</t>
  </si>
  <si>
    <t>Amprobe</t>
  </si>
  <si>
    <t>DriverSupport</t>
  </si>
  <si>
    <t>02/10/2020 at 08:39:02 UTC</t>
  </si>
  <si>
    <t>Solvusoft</t>
  </si>
  <si>
    <t>08/18/2020 at 08:53:09 UTC</t>
  </si>
  <si>
    <t>Drivefinder</t>
  </si>
  <si>
    <t>01/28/2020 at 14:44:36 UTC</t>
  </si>
  <si>
    <t>YourPCDrivers</t>
  </si>
  <si>
    <t>Inova Solutions</t>
  </si>
  <si>
    <t>09/08/2021 at 18:58:13 UTC</t>
  </si>
  <si>
    <t>LionSea</t>
  </si>
  <si>
    <t>Drobo</t>
  </si>
  <si>
    <t>11/21/2019 at 11:56:24 UTC</t>
  </si>
  <si>
    <t>Matt Johnston</t>
  </si>
  <si>
    <t>04/09/2019 at 21:30:09 UTC</t>
  </si>
  <si>
    <t>Dropbox</t>
  </si>
  <si>
    <t>08/28/2019 at 16:04:13 UTC</t>
  </si>
  <si>
    <t>09/16/2022 at 19:27:23 UTC</t>
  </si>
  <si>
    <t>QuintanaSoft</t>
  </si>
  <si>
    <t>06/10/2019 at 08:55:04 UTC</t>
  </si>
  <si>
    <t>Digital Solutions</t>
  </si>
  <si>
    <t>06/18/2019 at 14:36:31 UTC</t>
  </si>
  <si>
    <t>Alex Thuring</t>
  </si>
  <si>
    <t>Kassl GmbH</t>
  </si>
  <si>
    <t>DXC Technology</t>
  </si>
  <si>
    <t>09/04/2020 at 09:19:12 UTC</t>
  </si>
  <si>
    <t>11/14/2024 at 18:51:29 UTC</t>
  </si>
  <si>
    <t>12/20/2023 at 19:03:03 UTC</t>
  </si>
  <si>
    <t>12/20/2023 at 19:03:00 UTC</t>
  </si>
  <si>
    <t>02/23/2024 at 14:30:48 UTC</t>
  </si>
  <si>
    <t>Theodore Ts'o</t>
  </si>
  <si>
    <t>ksoft</t>
  </si>
  <si>
    <t>09/27/2021 at 01:34:26 UTC</t>
  </si>
  <si>
    <t>Easy Sketch Pro</t>
  </si>
  <si>
    <t>DEVONtechnologies</t>
  </si>
  <si>
    <t>Luidia, Inc</t>
  </si>
  <si>
    <t>08/19/2022 at 17:37:42 UTC</t>
  </si>
  <si>
    <t>eBLVD</t>
  </si>
  <si>
    <t>07/10/2020 at 14:30:41 UTC</t>
  </si>
  <si>
    <t>AINS</t>
  </si>
  <si>
    <t>Green Eclipse</t>
  </si>
  <si>
    <t>Harris Computer</t>
  </si>
  <si>
    <t>Luminator Technology Group</t>
  </si>
  <si>
    <t>Medical Simulation Corporation</t>
  </si>
  <si>
    <t>01/10/2019 at 20:38:15 UTC</t>
  </si>
  <si>
    <t>eHealthVitals</t>
  </si>
  <si>
    <t>10/12/2022 at 15:00:59 UTC</t>
  </si>
  <si>
    <t>IMA Group</t>
  </si>
  <si>
    <t>11/21/2018 at 09:07:44 UTC</t>
  </si>
  <si>
    <t>The Computer Support Group, Inc</t>
  </si>
  <si>
    <t>Piney Mountain Press</t>
  </si>
  <si>
    <t>01/17/2020 at 13:34:13 UTC</t>
  </si>
  <si>
    <t>Frank Meng</t>
  </si>
  <si>
    <t>01/18/2024 at 02:50:25 UTC</t>
  </si>
  <si>
    <t>EverMind</t>
  </si>
  <si>
    <t>01/17/2019 at 09:29:35 UTC</t>
  </si>
  <si>
    <t>Eltima Software</t>
  </si>
  <si>
    <t>04/07/2019 at 21:08:03 UTC</t>
  </si>
  <si>
    <t>eM Client</t>
  </si>
  <si>
    <t>04/05/2019 at 09:56:21 UTC</t>
  </si>
  <si>
    <t>Nummenmaa Lab</t>
  </si>
  <si>
    <t>08/14/2019 at 15:05:37 UTC</t>
  </si>
  <si>
    <t>Lars Hederer</t>
  </si>
  <si>
    <t>09/19/2024 at 17:25:24 UTC</t>
  </si>
  <si>
    <t>emsCharts</t>
  </si>
  <si>
    <t>08/18/2020 at 08:53:19 UTC</t>
  </si>
  <si>
    <t>09/19/2024 at 17:25:30 UTC</t>
  </si>
  <si>
    <t>02/12/2024 at 20:36:24 UTC</t>
  </si>
  <si>
    <t>Enesys</t>
  </si>
  <si>
    <t>Blue Crest</t>
  </si>
  <si>
    <t>Delta Controls</t>
  </si>
  <si>
    <t>Turn-KeyTechnologies</t>
  </si>
  <si>
    <t>07/16/2024 at 18:26:16 UTC</t>
  </si>
  <si>
    <t>05/14/2024 at 21:22:59 UTC</t>
  </si>
  <si>
    <t>05/08/2019 at 16:14:16 UTC</t>
  </si>
  <si>
    <t>05/23/2019 at 11:51:59 UTC</t>
  </si>
  <si>
    <t>09/01/2022 at 20:19:24 UTC</t>
  </si>
  <si>
    <t>ESET</t>
  </si>
  <si>
    <t>07/16/2019 at 12:17:09 UTC</t>
  </si>
  <si>
    <t>VASCO</t>
  </si>
  <si>
    <t>12/20/2023 at 19:02:58 UTC</t>
  </si>
  <si>
    <t>Estrada Technology</t>
  </si>
  <si>
    <t>03/24/2019 at 21:18:25 UTC</t>
  </si>
  <si>
    <t>RealLegal</t>
  </si>
  <si>
    <t>T System</t>
  </si>
  <si>
    <t>EMS Software</t>
  </si>
  <si>
    <t>06/14/2019 at 06:24:19 UTC</t>
  </si>
  <si>
    <t>EVT2SYS Open Source Project</t>
  </si>
  <si>
    <t>09/12/2019 at 06:25:00 UTC</t>
  </si>
  <si>
    <t>WatchGuard Video LLC</t>
  </si>
  <si>
    <t>03/14/2024 at 16:04:38 UTC</t>
  </si>
  <si>
    <t>08/18/2020 at 08:54:56 UTC</t>
  </si>
  <si>
    <t>Evoke Neuroscience</t>
  </si>
  <si>
    <t>01/30/2024 at 01:11:57 UTC</t>
  </si>
  <si>
    <t>ExamSoft</t>
  </si>
  <si>
    <t>05/23/2024 at 01:20:07 UTC</t>
  </si>
  <si>
    <t>11/28/2022 at 02:39:47 UTC</t>
  </si>
  <si>
    <t>Explaindio</t>
  </si>
  <si>
    <t>03/12/2020 at 15:22:46 UTC</t>
  </si>
  <si>
    <t>12/20/2023 at 19:17:37 UTC</t>
  </si>
  <si>
    <t>Express Metrix</t>
  </si>
  <si>
    <t>05/28/2020 at 10:59:17 UTC</t>
  </si>
  <si>
    <t>07/29/2019 at 07:24:29 UTC</t>
  </si>
  <si>
    <t>Express VPN</t>
  </si>
  <si>
    <t>04/29/2019 at 14:55:08 UTC</t>
  </si>
  <si>
    <t>11/27/2024 at 00:54:37 UTC</t>
  </si>
  <si>
    <t>04/02/2024 at 02:04:58 UTC</t>
  </si>
  <si>
    <t>01/25/2024 at 01:33:52 UTC</t>
  </si>
  <si>
    <t>XMLUnit</t>
  </si>
  <si>
    <t>01/18/2024 at 02:50:29 UTC</t>
  </si>
  <si>
    <t>DocTools</t>
  </si>
  <si>
    <t>Blavier Sebastien</t>
  </si>
  <si>
    <t>06/30/2020 at 15:38:22 UTC</t>
  </si>
  <si>
    <t>06/04/2019 at 10:17:22 UTC</t>
  </si>
  <si>
    <t>10/03/2022 at 19:03:51 UTC</t>
  </si>
  <si>
    <t>Facebook</t>
  </si>
  <si>
    <t>Lenel Systems International</t>
  </si>
  <si>
    <t>Pacific Northwest National Laboratory</t>
  </si>
  <si>
    <t>Compusult</t>
  </si>
  <si>
    <t>10/03/2022 at 19:03:49 UTC</t>
  </si>
  <si>
    <t>Cjwdev Limited</t>
  </si>
  <si>
    <t>09/11/2019 at 07:14:04 UTC</t>
  </si>
  <si>
    <t>AEC Software</t>
  </si>
  <si>
    <t>03/24/2019 at 21:18:26 UTC</t>
  </si>
  <si>
    <t>Wolfgang Ziegler</t>
  </si>
  <si>
    <t>Raimund Andr&amp;#233;e</t>
  </si>
  <si>
    <t>06/19/2020 at 10:39:49 UTC</t>
  </si>
  <si>
    <t>Soft Integrator, Ltd</t>
  </si>
  <si>
    <t>07/12/2019 at 13:42:17 UTC</t>
  </si>
  <si>
    <t>FileTrail</t>
  </si>
  <si>
    <t>05/28/2019 at 12:17:27 UTC</t>
  </si>
  <si>
    <t>07/31/2019 at 14:16:10 UTC</t>
  </si>
  <si>
    <t>11/24/2020 at 17:07:16 UTC</t>
  </si>
  <si>
    <t>FireBird SQL Org</t>
  </si>
  <si>
    <t>08/19/2019 at 07:36:03 UTC</t>
  </si>
  <si>
    <t>Seung Choi</t>
  </si>
  <si>
    <t>03/10/2020 at 12:07:27 UTC</t>
  </si>
  <si>
    <t>CESI EDGE</t>
  </si>
  <si>
    <t>04/05/2019 at 09:56:36 UTC</t>
  </si>
  <si>
    <t>07/12/2019 at 13:41:57 UTC</t>
  </si>
  <si>
    <t>Patton &amp; Patton</t>
  </si>
  <si>
    <t>Igneus Incorporated</t>
  </si>
  <si>
    <t>01/14/2021 at 20:19:03 UTC</t>
  </si>
  <si>
    <t>QOMO Presenting Solutions</t>
  </si>
  <si>
    <t>05/18/2020 at 11:55:45 UTC</t>
  </si>
  <si>
    <t>Brio1337</t>
  </si>
  <si>
    <t>Free Time</t>
  </si>
  <si>
    <t>PlanPlus Online</t>
  </si>
  <si>
    <t>Fortress Technologies</t>
  </si>
  <si>
    <t>08/27/2019 at 14:36:00 UTC</t>
  </si>
  <si>
    <t>Boinx</t>
  </si>
  <si>
    <t>08/18/2020 at 08:54:57 UTC</t>
  </si>
  <si>
    <t>FreeCAD</t>
  </si>
  <si>
    <t>01/24/2024 at 03:39:47 UTC</t>
  </si>
  <si>
    <t>07/13/2022 at 20:22:23 UTC</t>
  </si>
  <si>
    <t>Freeisoburner</t>
  </si>
  <si>
    <t>04/23/2020 at 16:11:11 UTC</t>
  </si>
  <si>
    <t>Advanced Mouse Auto Clicker</t>
  </si>
  <si>
    <t>PDFMate</t>
  </si>
  <si>
    <t>07/16/2019 at 12:17:03 UTC</t>
  </si>
  <si>
    <t>Free Stopwatch</t>
  </si>
  <si>
    <t>01/29/2021 at 10:06:44 UTC</t>
  </si>
  <si>
    <t>09/24/2020 at 10:30:44 UTC</t>
  </si>
  <si>
    <t>Kresimir Petric</t>
  </si>
  <si>
    <t>11/29/2019 at 15:50:01 UTC</t>
  </si>
  <si>
    <t>04/08/2019 at 06:37:12 UTC</t>
  </si>
  <si>
    <t>ANU Data Mining Group</t>
  </si>
  <si>
    <t>Freemind</t>
  </si>
  <si>
    <t>Creative Signage Services</t>
  </si>
  <si>
    <t>Fundus Photo, LLC</t>
  </si>
  <si>
    <t>05/12/2020 at 08:24:28 UTC</t>
  </si>
  <si>
    <t>Fuze</t>
  </si>
  <si>
    <t>08/01/2019 at 13:33:40 UTC</t>
  </si>
  <si>
    <t>04/22/2022 at 01:55:32 UTC</t>
  </si>
  <si>
    <t>06/05/2020 at 00:36:55 UTC</t>
  </si>
  <si>
    <t>12/13/2024 at 19:39:22 UTC</t>
  </si>
  <si>
    <t>Syngene</t>
  </si>
  <si>
    <t>05/06/2020 at 16:34:22 UTC</t>
  </si>
  <si>
    <t>Zoolz</t>
  </si>
  <si>
    <t>09/21/2022 at 02:04:10 UTC</t>
  </si>
  <si>
    <t>RARE Technologies</t>
  </si>
  <si>
    <t>10/27/2020 at 10:03:41 UTC</t>
  </si>
  <si>
    <t>Gephi</t>
  </si>
  <si>
    <t>GestioIP</t>
  </si>
  <si>
    <t>10/18/2022 at 17:41:09 UTC</t>
  </si>
  <si>
    <t>gMed</t>
  </si>
  <si>
    <t>03/26/2021 at 10:14:23 UTC</t>
  </si>
  <si>
    <t>Git Extensions</t>
  </si>
  <si>
    <t>Ben Reser</t>
  </si>
  <si>
    <t>02/16/2023 at 02:18:48 UTC</t>
  </si>
  <si>
    <t>Glarysoft</t>
  </si>
  <si>
    <t>03/30/2020 at 07:52:38 UTC</t>
  </si>
  <si>
    <t>Ascensia</t>
  </si>
  <si>
    <t>GMetrix, LLC</t>
  </si>
  <si>
    <t>08/11/2021 at 15:52:39 UTC</t>
  </si>
  <si>
    <t>Nikos Mavrogiannopoulos</t>
  </si>
  <si>
    <t>03/24/2020 at 14:52:03 UTC</t>
  </si>
  <si>
    <t>Goliath Technologies</t>
  </si>
  <si>
    <t>09/11/2017 at 13:35:31 UTC</t>
  </si>
  <si>
    <t>06/16/2020 at 07:59:40 UTC</t>
  </si>
  <si>
    <t>03/24/2020 at 15:46:44 UTC</t>
  </si>
  <si>
    <t>03/02/2020 at 10:09:37 UTC</t>
  </si>
  <si>
    <t>GoToMyPC</t>
  </si>
  <si>
    <t>Legal Files</t>
  </si>
  <si>
    <t>Hello, Resolven Apps</t>
  </si>
  <si>
    <t>GraphicsMagick</t>
  </si>
  <si>
    <t>Gravograph</t>
  </si>
  <si>
    <t>Savage Universal</t>
  </si>
  <si>
    <t>Matt Albrecht</t>
  </si>
  <si>
    <t>BTS Bioengineering</t>
  </si>
  <si>
    <t>09/10/2019 at 07:59:33 UTC</t>
  </si>
  <si>
    <t>Gulp</t>
  </si>
  <si>
    <t>Sindre Sorhus</t>
  </si>
  <si>
    <t>Rui Hu</t>
  </si>
  <si>
    <t>Jackson Gariety</t>
  </si>
  <si>
    <t>Johannes Schickling</t>
  </si>
  <si>
    <t>Thomas Mueller</t>
  </si>
  <si>
    <t>Hamcrest</t>
  </si>
  <si>
    <t>08/24/2020 at 08:00:17 UTC</t>
  </si>
  <si>
    <t>Transonic</t>
  </si>
  <si>
    <t>04/05/2019 at 09:56:31 UTC</t>
  </si>
  <si>
    <t>AMA NUCC</t>
  </si>
  <si>
    <t>02/06/2019 at 09:44:42 UTC</t>
  </si>
  <si>
    <t>10/17/2023 at 15:01:12 UTC</t>
  </si>
  <si>
    <t>10/17/2023 at 15:01:15 UTC</t>
  </si>
  <si>
    <t>10/21/2018 at 19:15:57 UTC</t>
  </si>
  <si>
    <t>Ansgar Becker</t>
  </si>
  <si>
    <t>HemoCue AB</t>
  </si>
  <si>
    <t>12/05/2019 at 20:56:38 UTC</t>
  </si>
  <si>
    <t>04/01/2020 at 13:07:20 UTC</t>
  </si>
  <si>
    <t>03/25/2020 at 16:10:07 UTC</t>
  </si>
  <si>
    <t>09/11/2019 at 07:14:07 UTC</t>
  </si>
  <si>
    <t>02/28/2024 at 14:26:29 UTC</t>
  </si>
  <si>
    <t>11/16/2018 at 10:03:10 UTC</t>
  </si>
  <si>
    <t>09/07/2022 at 18:30:07 UTC</t>
  </si>
  <si>
    <t>07/31/2019 at 14:16:00 UTC</t>
  </si>
  <si>
    <t>04/26/2019 at 10:47:24 UTC</t>
  </si>
  <si>
    <t>Hola</t>
  </si>
  <si>
    <t>Pinnacle Studio</t>
  </si>
  <si>
    <t>01/12/2021 at 08:39:04 UTC</t>
  </si>
  <si>
    <t>07/20/2024 at 01:42:30 UTC</t>
  </si>
  <si>
    <t>Ben Alman</t>
  </si>
  <si>
    <t>Non-Profit Software Corporation</t>
  </si>
  <si>
    <t>07/10/2020 at 14:30:50 UTC</t>
  </si>
  <si>
    <t>Palm</t>
  </si>
  <si>
    <t>Hover Cam</t>
  </si>
  <si>
    <t>01/14/2021 at 20:19:05 UTC</t>
  </si>
  <si>
    <t>05/16/2019 at 11:24:02 UTC</t>
  </si>
  <si>
    <t>HTC</t>
  </si>
  <si>
    <t>02/19/2020 at 11:57:48 UTC</t>
  </si>
  <si>
    <t>Advanced Micro Devices (AMD)</t>
  </si>
  <si>
    <t>12/04/2019 at 08:22:49 UTC</t>
  </si>
  <si>
    <t>werk85</t>
  </si>
  <si>
    <t>02/26/2019 at 08:11:35 UTC</t>
  </si>
  <si>
    <t>11/28/2018 at 07:49:57 UTC</t>
  </si>
  <si>
    <t>08/18/2022 at 18:58:18 UTC</t>
  </si>
  <si>
    <t>Freesoftland</t>
  </si>
  <si>
    <t>Otometrics</t>
  </si>
  <si>
    <t>IEability</t>
  </si>
  <si>
    <t>Drive DeVilbiss Healthcare</t>
  </si>
  <si>
    <t>05/04/2020 at 12:10:21 UTC</t>
  </si>
  <si>
    <t>08/29/2019 at 15:17:59 UTC</t>
  </si>
  <si>
    <t>Otodynamics Ltd</t>
  </si>
  <si>
    <t>07/01/2019 at 12:06:47 UTC</t>
  </si>
  <si>
    <t>Alien Skin</t>
  </si>
  <si>
    <t>06/18/2019 at 15:21:19 UTC</t>
  </si>
  <si>
    <t>Brice Lambson</t>
  </si>
  <si>
    <t>07/16/2019 at 12:17:02 UTC</t>
  </si>
  <si>
    <t>LICOR Biosciences</t>
  </si>
  <si>
    <t>07/16/2019 at 12:17:06 UTC</t>
  </si>
  <si>
    <t>The Imaging Source</t>
  </si>
  <si>
    <t>Imazing</t>
  </si>
  <si>
    <t>05/26/2020 at 10:24:36 UTC</t>
  </si>
  <si>
    <t>Neurobehavioral Research Laboratory and Clinic (NRLC)</t>
  </si>
  <si>
    <t>01/30/2024 at 01:09:27 UTC</t>
  </si>
  <si>
    <t>10/25/2022 at 19:17:58 UTC</t>
  </si>
  <si>
    <t>Ajar Productions</t>
  </si>
  <si>
    <t>01/27/2020 at 11:57:17 UTC</t>
  </si>
  <si>
    <t>Independent JPEG Group</t>
  </si>
  <si>
    <t>04/19/2024 at 03:49:33 UTC</t>
  </si>
  <si>
    <t>Industrial Scientific</t>
  </si>
  <si>
    <t>10/20/2022 at 15:34:27 UTC</t>
  </si>
  <si>
    <t>03/28/2019 at 11:39:09 UTC</t>
  </si>
  <si>
    <t>MedicaSoft</t>
  </si>
  <si>
    <t>09/16/2020 at 11:56:51 UTC</t>
  </si>
  <si>
    <t>09/08/2020 at 21:04:05 UTC</t>
  </si>
  <si>
    <t>Centralsquare</t>
  </si>
  <si>
    <t>02/27/2020 at 07:27:27 UTC</t>
  </si>
  <si>
    <t>04/30/2019 at 16:38:20 UTC</t>
  </si>
  <si>
    <t>InfraRecorder</t>
  </si>
  <si>
    <t>06/14/2019 at 06:24:27 UTC</t>
  </si>
  <si>
    <t>05/26/2020 at 10:24:37 UTC</t>
  </si>
  <si>
    <t>10/27/2022 at 16:49:02 UTC</t>
  </si>
  <si>
    <t>InQuisient</t>
  </si>
  <si>
    <t>03/29/2023 at 03:18:45 UTC</t>
  </si>
  <si>
    <t>WHSoftware</t>
  </si>
  <si>
    <t>Griffith, Ballard &amp; Company</t>
  </si>
  <si>
    <t>05/30/2019 at 07:08:59 UTC</t>
  </si>
  <si>
    <t>Purkay Labs</t>
  </si>
  <si>
    <t>07/10/2020 at 14:30:45 UTC</t>
  </si>
  <si>
    <t>08/14/2019 at 12:51:40 UTC</t>
  </si>
  <si>
    <t>12/10/2024 at 18:07:43 UTC</t>
  </si>
  <si>
    <t>12/20/2023 at 19:02:57 UTC</t>
  </si>
  <si>
    <t>12/20/2023 at 19:02:56 UTC</t>
  </si>
  <si>
    <t>Internet Testing Systems</t>
  </si>
  <si>
    <t>08/27/2024 at 15:30:19 UTC</t>
  </si>
  <si>
    <t>IObit</t>
  </si>
  <si>
    <t>03/02/2020 at 10:03:26 UTC</t>
  </si>
  <si>
    <t>Zihua Li</t>
  </si>
  <si>
    <t>06/11/2019 at 08:15:53 UTC</t>
  </si>
  <si>
    <t>07/12/2019 at 13:42:18 UTC</t>
  </si>
  <si>
    <t>04/08/2019 at 06:19:05 UTC</t>
  </si>
  <si>
    <t>ISEC7 Group</t>
  </si>
  <si>
    <t>isee Systems</t>
  </si>
  <si>
    <t>01/15/2020 at 14:28:30 UTC</t>
  </si>
  <si>
    <t>Vector Psychometric Group</t>
  </si>
  <si>
    <t>01/27/2020 at 11:57:25 UTC</t>
  </si>
  <si>
    <t>IXIA</t>
  </si>
  <si>
    <t>04/29/2020 at 11:49:30 UTC</t>
  </si>
  <si>
    <t>Ivan Zahariev</t>
  </si>
  <si>
    <t>JabRef</t>
  </si>
  <si>
    <t>JMC Heatlh Enterprises</t>
  </si>
  <si>
    <t>01/06/2019 at 21:38:41 UTC</t>
  </si>
  <si>
    <t>03/26/2019 at 15:17:01 UTC</t>
  </si>
  <si>
    <t>12/06/2022 at 02:46:36 UTC</t>
  </si>
  <si>
    <t>05/09/2023 at 19:44:06 UTC</t>
  </si>
  <si>
    <t>02/21/2019 at 09:36:14 UTC</t>
  </si>
  <si>
    <t>Nodeca</t>
  </si>
  <si>
    <t>12/20/2023 at 18:57:46 UTC</t>
  </si>
  <si>
    <t>Jackson Laboratory</t>
  </si>
  <si>
    <t>01/25/2019 at 13:51:58 UTC</t>
  </si>
  <si>
    <t>jEdit</t>
  </si>
  <si>
    <t>BlueSprig</t>
  </si>
  <si>
    <t>01/10/2019 at 20:50:10 UTC</t>
  </si>
  <si>
    <t>StillTRAN</t>
  </si>
  <si>
    <t>08/26/2022 at 00:53:15 UTC</t>
  </si>
  <si>
    <t>04/29/2019 at 14:01:22 UTC</t>
  </si>
  <si>
    <t>moappi</t>
  </si>
  <si>
    <t>03/11/2024 at 14:14:35 UTC</t>
  </si>
  <si>
    <t>AppendTo</t>
  </si>
  <si>
    <t>01/06/2019 at 21:38:02 UTC</t>
  </si>
  <si>
    <t>Luke Preston</t>
  </si>
  <si>
    <t>Jxplorer</t>
  </si>
  <si>
    <t>Sassafras Software</t>
  </si>
  <si>
    <t>Black Pixel</t>
  </si>
  <si>
    <t>Transcender</t>
  </si>
  <si>
    <t>05/12/2019 at 17:28:35 UTC</t>
  </si>
  <si>
    <t>Daniel Tabuenca</t>
  </si>
  <si>
    <t>Keiser</t>
  </si>
  <si>
    <t>Keras</t>
  </si>
  <si>
    <t>04/04/2024 at 03:11:19 UTC</t>
  </si>
  <si>
    <t>Cygnacom Solutions</t>
  </si>
  <si>
    <t>02/28/2023 at 20:32:23 UTC</t>
  </si>
  <si>
    <t>KEYper Systems</t>
  </si>
  <si>
    <t>Innovision Incorporated</t>
  </si>
  <si>
    <t>CIC Technology</t>
  </si>
  <si>
    <t>Tektronix</t>
  </si>
  <si>
    <t>04/07/2019 at 21:08:06 UTC</t>
  </si>
  <si>
    <t>05/08/2019 at 16:14:13 UTC</t>
  </si>
  <si>
    <t>Kinoni</t>
  </si>
  <si>
    <t>03/15/2019 at 11:08:54 UTC</t>
  </si>
  <si>
    <t>Bematech</t>
  </si>
  <si>
    <t>Kleen Edge</t>
  </si>
  <si>
    <t>03/24/2019 at 21:18:27 UTC</t>
  </si>
  <si>
    <t>Doit</t>
  </si>
  <si>
    <t>10/25/2023 at 01:40:15 UTC</t>
  </si>
  <si>
    <t>KWizCom</t>
  </si>
  <si>
    <t>08/31/2022 at 02:18:58 UTC</t>
  </si>
  <si>
    <t>07/15/2024 at 19:50:19 UTC</t>
  </si>
  <si>
    <t>07/15/2024 at 19:50:20 UTC</t>
  </si>
  <si>
    <t>LABTrack, LLC</t>
  </si>
  <si>
    <t>Zuofeng Li</t>
  </si>
  <si>
    <t>LeanPath</t>
  </si>
  <si>
    <t>Seequent Limited</t>
  </si>
  <si>
    <t>07/15/2024 at 19:50:22 UTC</t>
  </si>
  <si>
    <t>OnSite Software</t>
  </si>
  <si>
    <t>08/17/2021 at 19:49:11 UTC</t>
  </si>
  <si>
    <t>08/21/2020 at 13:26:20 UTC</t>
  </si>
  <si>
    <t>11/04/2022 at 01:37:26 UTC</t>
  </si>
  <si>
    <t>LightScribe</t>
  </si>
  <si>
    <t>07/10/2020 at 14:31:07 UTC</t>
  </si>
  <si>
    <t>Skillbrains</t>
  </si>
  <si>
    <t>07/09/2019 at 07:53:36 UTC</t>
  </si>
  <si>
    <t>Entech Signs</t>
  </si>
  <si>
    <t>Philip Laureano</t>
  </si>
  <si>
    <t>10/23/2018 at 21:57:03 UTC</t>
  </si>
  <si>
    <t>LINKMED</t>
  </si>
  <si>
    <t>08/13/2020 at 12:01:58 UTC</t>
  </si>
  <si>
    <t>05/09/2023 at 19:44:07 UTC</t>
  </si>
  <si>
    <t>L-soft</t>
  </si>
  <si>
    <t>Creative Technology</t>
  </si>
  <si>
    <t>ELLKAY, LLC</t>
  </si>
  <si>
    <t>LMAX-Exchange</t>
  </si>
  <si>
    <t>Crystal Rich</t>
  </si>
  <si>
    <t>05/18/2020 at 11:55:38 UTC</t>
  </si>
  <si>
    <t>CompX Security Products</t>
  </si>
  <si>
    <t>Stritti</t>
  </si>
  <si>
    <t>07/15/2020 at 10:46:31 UTC</t>
  </si>
  <si>
    <t>LogicManager</t>
  </si>
  <si>
    <t>09/28/2020 at 10:28:12 UTC</t>
  </si>
  <si>
    <t>03/24/2020 at 14:29:52 UTC</t>
  </si>
  <si>
    <t>05/12/2020 at 08:15:21 UTC</t>
  </si>
  <si>
    <t>LogMeIn</t>
  </si>
  <si>
    <t>03/02/2020 at 10:06:44 UTC</t>
  </si>
  <si>
    <t>Axonic Informationssysteme GmbH</t>
  </si>
  <si>
    <t>11/06/2019 at 11:06:21 UTC</t>
  </si>
  <si>
    <t>Renesas Electronics Corporation</t>
  </si>
  <si>
    <t>Clario Tech</t>
  </si>
  <si>
    <t>04/22/2021 at 08:08:28 UTC</t>
  </si>
  <si>
    <t>DAGE-MTI</t>
  </si>
  <si>
    <t>Magical Jelly Bean</t>
  </si>
  <si>
    <t>08/12/2022 at 01:02:40 UTC</t>
  </si>
  <si>
    <t>Magnatag</t>
  </si>
  <si>
    <t>Neopost</t>
  </si>
  <si>
    <t>Datasmith</t>
  </si>
  <si>
    <t>01/19/2021 at 11:35:15 UTC</t>
  </si>
  <si>
    <t>Mailplane GmbH</t>
  </si>
  <si>
    <t>Maine Standards Company</t>
  </si>
  <si>
    <t>10/02/2024 at 19:24:28 UTC</t>
  </si>
  <si>
    <t>07/15/2024 at 19:50:24 UTC</t>
  </si>
  <si>
    <t>12/04/2018 at 13:07:45 UTC</t>
  </si>
  <si>
    <t>Mangold International</t>
  </si>
  <si>
    <t>05/01/2023 at 18:57:24 UTC</t>
  </si>
  <si>
    <t>Brett Terpstra</t>
  </si>
  <si>
    <t>07/12/2019 at 13:42:08 UTC</t>
  </si>
  <si>
    <t>BMG LABTECH</t>
  </si>
  <si>
    <t>05/31/2019 at 11:11:35 UTC</t>
  </si>
  <si>
    <t>09/13/2022 at 18:11:41 UTC</t>
  </si>
  <si>
    <t>MasterControl</t>
  </si>
  <si>
    <t>07/23/2019 at 12:07:43 UTC</t>
  </si>
  <si>
    <t>08/29/2024 at 15:54:43 UTC</t>
  </si>
  <si>
    <t>IMS</t>
  </si>
  <si>
    <t>10/21/2020 at 09:20:25 UTC</t>
  </si>
  <si>
    <t>Mecta Corp</t>
  </si>
  <si>
    <t>06/29/2021 at 12:42:57 UTC</t>
  </si>
  <si>
    <t>MPC-HC</t>
  </si>
  <si>
    <t>02/19/2020 at 11:57:49 UTC</t>
  </si>
  <si>
    <t>Cole Williams</t>
  </si>
  <si>
    <t>08/21/2019 at 14:38:30 UTC</t>
  </si>
  <si>
    <t>07/10/2020 at 14:31:15 UTC</t>
  </si>
  <si>
    <t>07/10/2020 at 14:31:17 UTC</t>
  </si>
  <si>
    <t>02/28/2024 at 14:30:20 UTC</t>
  </si>
  <si>
    <t>07/15/2020 at 10:46:29 UTC</t>
  </si>
  <si>
    <t>07/15/2020 at 10:46:30 UTC</t>
  </si>
  <si>
    <t>09/21/2020 at 14:30:46 UTC</t>
  </si>
  <si>
    <t>03/15/2019 at 16:51:19 UTC</t>
  </si>
  <si>
    <t>03/12/2019 at 19:53:16 UTC</t>
  </si>
  <si>
    <t>MEDITECH</t>
  </si>
  <si>
    <t>Elliott Data Systems</t>
  </si>
  <si>
    <t>03/24/2020 at 14:29:57 UTC</t>
  </si>
  <si>
    <t>Dormando</t>
  </si>
  <si>
    <t>01/29/2020 at 14:44:49 UTC</t>
  </si>
  <si>
    <t>08/18/2020 at 08:55:06 UTC</t>
  </si>
  <si>
    <t>National Geospatial-Intelligence Agency</t>
  </si>
  <si>
    <t>Mentimeter</t>
  </si>
  <si>
    <t>06/13/2024 at 20:25:23 UTC</t>
  </si>
  <si>
    <t>IBM Watson Health</t>
  </si>
  <si>
    <t>11/09/2022 at 17:06:57 UTC</t>
  </si>
  <si>
    <t>11/14/2022 at 17:43:10 UTC</t>
  </si>
  <si>
    <t>J Beverly</t>
  </si>
  <si>
    <t>05/09/2023 at 19:44:03 UTC</t>
  </si>
  <si>
    <t>Ematek</t>
  </si>
  <si>
    <t>Metazoa</t>
  </si>
  <si>
    <t>Micro Key Solutions</t>
  </si>
  <si>
    <t>02/28/2024 at 14:30:19 UTC</t>
  </si>
  <si>
    <t>ViTiny</t>
  </si>
  <si>
    <t>Attunity</t>
  </si>
  <si>
    <t>05/08/2019 at 16:14:17 UTC</t>
  </si>
  <si>
    <t>08/23/2019 at 14:08:33 UTC</t>
  </si>
  <si>
    <t>06/22/2020 at 16:42:53 UTC</t>
  </si>
  <si>
    <t>04/12/2022 at 00:57:23 UTC</t>
  </si>
  <si>
    <t>12/31/2020 at 08:18:01 UTC</t>
  </si>
  <si>
    <t>03/11/2019 at 07:42:10 UTC</t>
  </si>
  <si>
    <t>01/22/2020 at 12:47:09 UTC</t>
  </si>
  <si>
    <t>03/27/2023 at 02:34:45 UTC</t>
  </si>
  <si>
    <t>02/13/2020 at 16:11:24 UTC</t>
  </si>
  <si>
    <t>Mikogo</t>
  </si>
  <si>
    <t>Mimer</t>
  </si>
  <si>
    <t>07/30/2019 at 17:13:14 UTC</t>
  </si>
  <si>
    <t>Massachusetts Institute of Technology (MIT) Lincoln Laboratory (LL)</t>
  </si>
  <si>
    <t>04/30/2020 at 10:31:35 UTC</t>
  </si>
  <si>
    <t>05/30/2019 at 07:09:01 UTC</t>
  </si>
  <si>
    <t>Brian Freeman</t>
  </si>
  <si>
    <t>Modus Health</t>
  </si>
  <si>
    <t>MonetDB</t>
  </si>
  <si>
    <t>Gyration</t>
  </si>
  <si>
    <t>07/23/2019 at 12:07:53 UTC</t>
  </si>
  <si>
    <t>MouseJ</t>
  </si>
  <si>
    <t>Software Informer</t>
  </si>
  <si>
    <t>06/07/2024 at 18:33:19 UTC</t>
  </si>
  <si>
    <t>12/12/2019 at 08:33:03 UTC</t>
  </si>
  <si>
    <t>mpv</t>
  </si>
  <si>
    <t>ByLight Technical Services</t>
  </si>
  <si>
    <t>07/31/2019 at 14:16:07 UTC</t>
  </si>
  <si>
    <t>Essex Software, LLC</t>
  </si>
  <si>
    <t>Multicorn</t>
  </si>
  <si>
    <t>MediaChance</t>
  </si>
  <si>
    <t>12/20/2023 at 19:02:49 UTC</t>
  </si>
  <si>
    <t>01/25/2019 at 13:51:59 UTC</t>
  </si>
  <si>
    <t>MuseScore</t>
  </si>
  <si>
    <t>Maarten Balliauw</t>
  </si>
  <si>
    <t>Jeroen Kessels</t>
  </si>
  <si>
    <t>07/10/2020 at 14:34:05 UTC</t>
  </si>
  <si>
    <t>07/10/2020 at 14:34:10 UTC</t>
  </si>
  <si>
    <t>Imprint Plus</t>
  </si>
  <si>
    <t>03/24/2019 at 21:18:28 UTC</t>
  </si>
  <si>
    <t>Ben Olden-Cooligan</t>
  </si>
  <si>
    <t>02/06/2019 at 09:44:40 UTC</t>
  </si>
  <si>
    <t>Renal Services Exchange</t>
  </si>
  <si>
    <t>National Uniform Billing Committee</t>
  </si>
  <si>
    <t>NaturalSoft Ltd</t>
  </si>
  <si>
    <t>NcFTP</t>
  </si>
  <si>
    <t>08/18/2020 at 08:55:01 UTC</t>
  </si>
  <si>
    <t>Yoran Heling</t>
  </si>
  <si>
    <t>Neat</t>
  </si>
  <si>
    <t>06/07/2024 at 18:33:20 UTC</t>
  </si>
  <si>
    <t>06/27/2022 at 16:21:01 UTC</t>
  </si>
  <si>
    <t>06/04/2019 at 14:24:55 UTC</t>
  </si>
  <si>
    <t>Andy Clark</t>
  </si>
  <si>
    <t>Caelo Software</t>
  </si>
  <si>
    <t>08/06/2019 at 12:30:36 UTC</t>
  </si>
  <si>
    <t>10/18/2019 at 07:34:51 UTC</t>
  </si>
  <si>
    <t>Long Range Systems LLC</t>
  </si>
  <si>
    <t>11/18/2020 at 08:50:57 UTC</t>
  </si>
  <si>
    <t>Grid Connect</t>
  </si>
  <si>
    <t>10/27/2022 at 16:49:00 UTC</t>
  </si>
  <si>
    <t>Netc</t>
  </si>
  <si>
    <t>Beausoft</t>
  </si>
  <si>
    <t>07/23/2019 at 12:07:40 UTC</t>
  </si>
  <si>
    <t>NETGEAR</t>
  </si>
  <si>
    <t>09/01/2020 at 10:34:40 UTC</t>
  </si>
  <si>
    <t>AMX</t>
  </si>
  <si>
    <t>NetScan Tools</t>
  </si>
  <si>
    <t>NetSupport</t>
  </si>
  <si>
    <t>Nuts About Nets, LLC</t>
  </si>
  <si>
    <t>12/20/2023 at 19:02:47 UTC</t>
  </si>
  <si>
    <t>NeuLog</t>
  </si>
  <si>
    <t>Nex Technologies</t>
  </si>
  <si>
    <t>Neuromonics</t>
  </si>
  <si>
    <t>New Atlanta</t>
  </si>
  <si>
    <t>07/23/2019 at 12:07:48 UTC</t>
  </si>
  <si>
    <t>11/27/2019 at 16:17:49 UTC</t>
  </si>
  <si>
    <t>Adaltas</t>
  </si>
  <si>
    <t>Tediousjs</t>
  </si>
  <si>
    <t>Mithun Satheesh</t>
  </si>
  <si>
    <t>Sparkle Motion</t>
  </si>
  <si>
    <t>12/06/2022 at 02:46:37 UTC</t>
  </si>
  <si>
    <t>10/03/2019 at 07:16:14 UTC</t>
  </si>
  <si>
    <t>Moxa</t>
  </si>
  <si>
    <t>08/08/2019 at 12:13:41 UTC</t>
  </si>
  <si>
    <t>Rico Suter</t>
  </si>
  <si>
    <t>02/12/2024 at 03:26:18 UTC</t>
  </si>
  <si>
    <t>eSupport</t>
  </si>
  <si>
    <t>03/10/2020 at 12:07:22 UTC</t>
  </si>
  <si>
    <t>VA Developed Class 2 or Class 3 Software</t>
  </si>
  <si>
    <t>Bernafon, LLC</t>
  </si>
  <si>
    <t>Apache Commons</t>
  </si>
  <si>
    <t>Oblong</t>
  </si>
  <si>
    <t>12/23/2019 at 12:08:48 UTC</t>
  </si>
  <si>
    <t>UL LLC</t>
  </si>
  <si>
    <t>OCS Inventory Team</t>
  </si>
  <si>
    <t>10/09/2019 at 08:00:14 UTC</t>
  </si>
  <si>
    <t>09/11/2019 at 07:14:09 UTC</t>
  </si>
  <si>
    <t>PluralSight</t>
  </si>
  <si>
    <t>OKD</t>
  </si>
  <si>
    <t>decalage2</t>
  </si>
  <si>
    <t>omnigraffle</t>
  </si>
  <si>
    <t>02/06/2019 at 09:44:52 UTC</t>
  </si>
  <si>
    <t>Adaptiva</t>
  </si>
  <si>
    <t>07/23/2020 at 10:35:43 UTC</t>
  </si>
  <si>
    <t>OneStream</t>
  </si>
  <si>
    <t>08/06/2019 at 12:45:24 UTC</t>
  </si>
  <si>
    <t>OSClass</t>
  </si>
  <si>
    <t>Abelardo Gonzalez</t>
  </si>
  <si>
    <t>OLab</t>
  </si>
  <si>
    <t>Image Access Corp</t>
  </si>
  <si>
    <t>07/10/2020 at 14:34:13 UTC</t>
  </si>
  <si>
    <t>Arch Fitters</t>
  </si>
  <si>
    <t>OQ Measures</t>
  </si>
  <si>
    <t>04/17/2020 at 11:03:42 UTC</t>
  </si>
  <si>
    <t>04/17/2020 at 11:03:43 UTC</t>
  </si>
  <si>
    <t>12/13/2024 at 19:39:13 UTC</t>
  </si>
  <si>
    <t>Endolite USA</t>
  </si>
  <si>
    <t>Haldor Advanced Technologies</t>
  </si>
  <si>
    <t>CDI</t>
  </si>
  <si>
    <t>Hansatech Instruments Ltd</t>
  </si>
  <si>
    <t>12/19/2018 at 15:17:22 UTC</t>
  </si>
  <si>
    <t>WhiteBox Software</t>
  </si>
  <si>
    <t>12/19/2018 at 07:26:25 UTC</t>
  </si>
  <si>
    <t>Pagedip</t>
  </si>
  <si>
    <t>Software For Writing</t>
  </si>
  <si>
    <t>Benco Dental</t>
  </si>
  <si>
    <t>05/23/2019 at 14:59:48 UTC</t>
  </si>
  <si>
    <t>Pal Technologies</t>
  </si>
  <si>
    <t>01/23/2020 at 11:29:13 UTC</t>
  </si>
  <si>
    <t>10/26/2020 at 08:21:07 UTC</t>
  </si>
  <si>
    <t>05/29/2020 at 14:38:59 UTC</t>
  </si>
  <si>
    <t>Panduit</t>
  </si>
  <si>
    <t>04/11/2023 at 02:19:09 UTC</t>
  </si>
  <si>
    <t>AECOM</t>
  </si>
  <si>
    <t>A-FF Labs</t>
  </si>
  <si>
    <t>06/14/2019 at 06:24:28 UTC</t>
  </si>
  <si>
    <t>Christian Thoeing</t>
  </si>
  <si>
    <t>02/10/2020 at 08:39:00 UTC</t>
  </si>
  <si>
    <t>CP-LAB</t>
  </si>
  <si>
    <t>homedev</t>
  </si>
  <si>
    <t>Charles Lechausseur</t>
  </si>
  <si>
    <t>08/06/2019 at 12:30:29 UTC</t>
  </si>
  <si>
    <t>10/03/2022 at 19:03:58 UTC</t>
  </si>
  <si>
    <t>Pathos</t>
  </si>
  <si>
    <t>07/12/2019 at 13:41:55 UTC</t>
  </si>
  <si>
    <t>Symantec</t>
  </si>
  <si>
    <t>bioPDF</t>
  </si>
  <si>
    <t>07/23/2019 at 12:07:39 UTC</t>
  </si>
  <si>
    <t>PDF Share Forms LLC</t>
  </si>
  <si>
    <t>airSlate SignNow</t>
  </si>
  <si>
    <t>DigitZone</t>
  </si>
  <si>
    <t>Apago</t>
  </si>
  <si>
    <t>Steward and Lee, LLC</t>
  </si>
  <si>
    <t>Bart Lagerweij</t>
  </si>
  <si>
    <t>08/23/2019 at 14:08:29 UTC</t>
  </si>
  <si>
    <t>Los Alamos National Laboratory</t>
  </si>
  <si>
    <t>PeaZip</t>
  </si>
  <si>
    <t>11/18/2019 at 17:33:01 UTC</t>
  </si>
  <si>
    <t>VHA Innovations</t>
  </si>
  <si>
    <t>Perkins</t>
  </si>
  <si>
    <t>02/06/2019 at 09:44:56 UTC</t>
  </si>
  <si>
    <t>07/15/2020 at 10:46:36 UTC</t>
  </si>
  <si>
    <t>Bitsmith Software</t>
  </si>
  <si>
    <t>LAE Software LLC</t>
  </si>
  <si>
    <t>New York State Department of Environmental Conservation</t>
  </si>
  <si>
    <t>04/11/2023 at 02:19:04 UTC</t>
  </si>
  <si>
    <t>08/28/2019 at 16:05:01 UTC</t>
  </si>
  <si>
    <t>Impact Technologies</t>
  </si>
  <si>
    <t>Sebia Group</t>
  </si>
  <si>
    <t>02/19/2019 at 08:14:24 UTC</t>
  </si>
  <si>
    <t>Ergo Science</t>
  </si>
  <si>
    <t>09/12/2019 at 06:24:57 UTC</t>
  </si>
  <si>
    <t>04/23/2020 at 16:23:03 UTC</t>
  </si>
  <si>
    <t>04/04/2024 at 03:11:03 UTC</t>
  </si>
  <si>
    <t>Precision</t>
  </si>
  <si>
    <t>05/17/2022 at 18:45:47 UTC</t>
  </si>
  <si>
    <t>Chuan Ji</t>
  </si>
  <si>
    <t>07/31/2019 at 08:51:53 UTC</t>
  </si>
  <si>
    <t>08/27/2021 at 15:19:53 UTC</t>
  </si>
  <si>
    <t>Shaun Purcell</t>
  </si>
  <si>
    <t>09/21/2022 at 02:03:38 UTC</t>
  </si>
  <si>
    <t>Tiny Cloud</t>
  </si>
  <si>
    <t>06/19/2020 at 10:39:47 UTC</t>
  </si>
  <si>
    <t>PointSecure</t>
  </si>
  <si>
    <t>Miridia</t>
  </si>
  <si>
    <t>08/03/2022 at 17:57:30 UTC</t>
  </si>
  <si>
    <t>Polycom</t>
  </si>
  <si>
    <t>Popcorn Time</t>
  </si>
  <si>
    <t>NSAuditor</t>
  </si>
  <si>
    <t>10/28/2020 at 08:51:52 UTC</t>
  </si>
  <si>
    <t>PDF Clown</t>
  </si>
  <si>
    <t>04/27/2020 at 08:37:20 UTC</t>
  </si>
  <si>
    <t>EXP Systems</t>
  </si>
  <si>
    <t>PDFlib GmbH</t>
  </si>
  <si>
    <t>Portableapps</t>
  </si>
  <si>
    <t>07/29/2019 at 07:24:21 UTC</t>
  </si>
  <si>
    <t>Anthropics Technology</t>
  </si>
  <si>
    <t>08/17/2021 at 15:34:13 UTC</t>
  </si>
  <si>
    <t>The SZ Development</t>
  </si>
  <si>
    <t>08/05/2022 at 16:07:08 UTC</t>
  </si>
  <si>
    <t>01/30/2024 at 01:10:22 UTC</t>
  </si>
  <si>
    <t>07/09/2019 at 07:53:42 UTC</t>
  </si>
  <si>
    <t>PostSharp Technologies</t>
  </si>
  <si>
    <t>Kakao</t>
  </si>
  <si>
    <t>PowerMock</t>
  </si>
  <si>
    <t>02/16/2024 at 17:19:56 UTC</t>
  </si>
  <si>
    <t>Adam Driscoll</t>
  </si>
  <si>
    <t>OfficeOne</t>
  </si>
  <si>
    <t>Arjan van de Ven</t>
  </si>
  <si>
    <t>07/20/2020 at 14:56:15 UTC</t>
  </si>
  <si>
    <t>01/30/2024 at 01:10:30 UTC</t>
  </si>
  <si>
    <t>Precision software &amp; consulting</t>
  </si>
  <si>
    <t>11/28/2018 at 07:50:01 UTC</t>
  </si>
  <si>
    <t>12/06/2018 at 13:54:01 UTC</t>
  </si>
  <si>
    <t>08/23/2019 at 14:08:31 UTC</t>
  </si>
  <si>
    <t>PrintFleet</t>
  </si>
  <si>
    <t>Alfred Bolliger</t>
  </si>
  <si>
    <t>08/14/2019 at 15:05:38 UTC</t>
  </si>
  <si>
    <t>07/16/2019 at 12:17:04 UTC</t>
  </si>
  <si>
    <t>PRISM-IPX Systems, LLC</t>
  </si>
  <si>
    <t>ProFTP</t>
  </si>
  <si>
    <t>Pennsylvania State University</t>
  </si>
  <si>
    <t>10/18/2024 at 17:34:29 UTC</t>
  </si>
  <si>
    <t>Bitsum Technologies</t>
  </si>
  <si>
    <t>Egenera</t>
  </si>
  <si>
    <t>04/24/2024 at 18:27:20 UTC</t>
  </si>
  <si>
    <t>Eigen</t>
  </si>
  <si>
    <t>Compumedics</t>
  </si>
  <si>
    <t>07/15/2021 at 20:51:30 UTC</t>
  </si>
  <si>
    <t>07/20/2020 at 14:56:16 UTC</t>
  </si>
  <si>
    <t>angularcore</t>
  </si>
  <si>
    <t>MarkRobertJohnson</t>
  </si>
  <si>
    <t>MScholtes</t>
  </si>
  <si>
    <t>GitHub - lahell</t>
  </si>
  <si>
    <t>Breeze Systems</t>
  </si>
  <si>
    <t>07/23/2019 at 12:07:59 UTC</t>
  </si>
  <si>
    <t>Harzing</t>
  </si>
  <si>
    <t>Punch! Software</t>
  </si>
  <si>
    <t>Darsey Litzenberger</t>
  </si>
  <si>
    <t>10/20/2022 at 15:34:22 UTC</t>
  </si>
  <si>
    <t>Terry</t>
  </si>
  <si>
    <t>03/12/2020 at 15:31:46 UTC</t>
  </si>
  <si>
    <t>05/03/2019 at 11:56:46 UTC</t>
  </si>
  <si>
    <t>04/30/2019 at 16:38:25 UTC</t>
  </si>
  <si>
    <t>04/16/2019 at 08:02:52 UTC</t>
  </si>
  <si>
    <t>QA Series</t>
  </si>
  <si>
    <t>TYTO Athene</t>
  </si>
  <si>
    <t>Qbase</t>
  </si>
  <si>
    <t>Q-Free</t>
  </si>
  <si>
    <t>12/05/2022 at 17:52:48 UTC</t>
  </si>
  <si>
    <t>Telexy</t>
  </si>
  <si>
    <t>12/31/2020 at 08:18:03 UTC</t>
  </si>
  <si>
    <t>Qdabra Software</t>
  </si>
  <si>
    <t>06/25/2020 at 12:10:35 UTC</t>
  </si>
  <si>
    <t>08/27/2021 at 15:20:18 UTC</t>
  </si>
  <si>
    <t>Lavi Industries</t>
  </si>
  <si>
    <t>05/29/2020 at 14:31:54 UTC</t>
  </si>
  <si>
    <t>Thiem Alrik PhD</t>
  </si>
  <si>
    <t>04/05/2021 at 17:19:05 UTC</t>
  </si>
  <si>
    <t>International Customer Management Institute (ICMI)</t>
  </si>
  <si>
    <t>Quicken</t>
  </si>
  <si>
    <t>QuickMAR</t>
  </si>
  <si>
    <t>08/24/2022 at 18:57:46 UTC</t>
  </si>
  <si>
    <t>Software Ok Inc</t>
  </si>
  <si>
    <t>Pete Bankhead</t>
  </si>
  <si>
    <t>05/07/2024 at 03:25:33 UTC</t>
  </si>
  <si>
    <t>Accelerite</t>
  </si>
  <si>
    <t>08/28/2019 at 16:04:14 UTC</t>
  </si>
  <si>
    <t>03/12/2019 at 19:53:13 UTC</t>
  </si>
  <si>
    <t>RSNA</t>
  </si>
  <si>
    <t>Daniel Schrimpf</t>
  </si>
  <si>
    <t>Raptr</t>
  </si>
  <si>
    <t>12/04/2018 at 13:07:39 UTC</t>
  </si>
  <si>
    <t>Health and Human Services (HHS) Office of the Inspector General (OIG)</t>
  </si>
  <si>
    <t>10/30/2024 at 15:24:48 UTC</t>
  </si>
  <si>
    <t>RaySafe</t>
  </si>
  <si>
    <t>01/03/2022 at 22:17:05 UTC</t>
  </si>
  <si>
    <t>Bernell</t>
  </si>
  <si>
    <t>Knife Edge Software</t>
  </si>
  <si>
    <t>08/26/2022 at 00:53:11 UTC</t>
  </si>
  <si>
    <t>03/12/2020 at 15:22:44 UTC</t>
  </si>
  <si>
    <t>01/25/2021 at 10:48:29 UTC</t>
  </si>
  <si>
    <t>04/07/2020 at 08:22:14 UTC</t>
  </si>
  <si>
    <t>07/31/2019 at 14:16:05 UTC</t>
  </si>
  <si>
    <t>getdata</t>
  </si>
  <si>
    <t>10/28/2020 at 08:51:51 UTC</t>
  </si>
  <si>
    <t>04/30/2019 at 16:38:22 UTC</t>
  </si>
  <si>
    <t>Registry Nuke</t>
  </si>
  <si>
    <t>03/26/2019 at 07:42:34 UTC</t>
  </si>
  <si>
    <t>NTIA</t>
  </si>
  <si>
    <t>09/19/2023 at 14:52:20 UTC</t>
  </si>
  <si>
    <t>Sordum</t>
  </si>
  <si>
    <t>ReimagePlus</t>
  </si>
  <si>
    <t>05/26/2020 at 10:24:39 UTC</t>
  </si>
  <si>
    <t>Unyte</t>
  </si>
  <si>
    <t>10/21/2018 at 19:15:56 UTC</t>
  </si>
  <si>
    <t>08/24/2020 at 08:00:12 UTC</t>
  </si>
  <si>
    <t>Innovative Imaging Technologies (IIT)</t>
  </si>
  <si>
    <t>06/22/2019 at 16:08:39 UTC</t>
  </si>
  <si>
    <t>12/03/2020 at 14:11:33 UTC</t>
  </si>
  <si>
    <t>National Safety Technologies</t>
  </si>
  <si>
    <t>Johan Haleby</t>
  </si>
  <si>
    <t>04/01/2020 at 13:07:21 UTC</t>
  </si>
  <si>
    <t>Best Practical</t>
  </si>
  <si>
    <t>03/15/2019 at 16:51:16 UTC</t>
  </si>
  <si>
    <t>ZAIGA Tech Technologies</t>
  </si>
  <si>
    <t>Angus Johnson</t>
  </si>
  <si>
    <t>07/23/2019 at 12:08:03 UTC</t>
  </si>
  <si>
    <t>07/15/2024 at 19:06:10 UTC</t>
  </si>
  <si>
    <t>10/23/2018 at 21:58:44 UTC</t>
  </si>
  <si>
    <t>Visionix USA Inc</t>
  </si>
  <si>
    <t>Hibernating Rhinos</t>
  </si>
  <si>
    <t>08/29/2019 at 15:18:00 UTC</t>
  </si>
  <si>
    <t>03/24/2019 at 21:18:24 UTC</t>
  </si>
  <si>
    <t>04/07/2019 at 21:07:58 UTC</t>
  </si>
  <si>
    <t>Punk Labs</t>
  </si>
  <si>
    <t>09/16/2022 at 19:27:17 UTC</t>
  </si>
  <si>
    <t>Rodin4D</t>
  </si>
  <si>
    <t>RouteMatch Software</t>
  </si>
  <si>
    <t>03/02/2020 at 10:06:35 UTC</t>
  </si>
  <si>
    <t>Royal Applications Team</t>
  </si>
  <si>
    <t>03/26/2019 at 07:44:58 UTC</t>
  </si>
  <si>
    <t>RSA</t>
  </si>
  <si>
    <t>Jeroen Ooms</t>
  </si>
  <si>
    <t>05/22/2024 at 16:16:06 UTC</t>
  </si>
  <si>
    <t>AVIRE</t>
  </si>
  <si>
    <t>11/09/2020 at 08:54:49 UTC</t>
  </si>
  <si>
    <t>s3fs-fuse</t>
  </si>
  <si>
    <t>Aladdin Temp-Rite</t>
  </si>
  <si>
    <t>SAMBUQ</t>
  </si>
  <si>
    <t>05/23/2019 at 11:52:13 UTC</t>
  </si>
  <si>
    <t>09/22/2023 at 01:42:23 UTC</t>
  </si>
  <si>
    <t>Marvell</t>
  </si>
  <si>
    <t>11/28/2018 at 07:50:06 UTC</t>
  </si>
  <si>
    <t>05/08/2019 at 16:14:09 UTC</t>
  </si>
  <si>
    <t>05/19/2021 at 13:03:15 UTC</t>
  </si>
  <si>
    <t>05/19/2021 at 13:03:16 UTC</t>
  </si>
  <si>
    <t>Holberg EEG AS</t>
  </si>
  <si>
    <t>Birch Grove Software</t>
  </si>
  <si>
    <t>Screenleap</t>
  </si>
  <si>
    <t>01/12/2021 at 10:52:09 UTC</t>
  </si>
  <si>
    <t>Abyssmedia</t>
  </si>
  <si>
    <t>03/12/2019 at 19:53:20 UTC</t>
  </si>
  <si>
    <t>Centered Systems</t>
  </si>
  <si>
    <t>05/26/2020 at 10:24:40 UTC</t>
  </si>
  <si>
    <t>Dashwood Cinema Solutions</t>
  </si>
  <si>
    <t>03/26/2019 at 15:17:00 UTC</t>
  </si>
  <si>
    <t>Blaze</t>
  </si>
  <si>
    <t>03/26/2024 at 16:10:55 UTC</t>
  </si>
  <si>
    <t>Kivuto</t>
  </si>
  <si>
    <t>Valassis</t>
  </si>
  <si>
    <t>03/14/2024 at 15:09:22 UTC</t>
  </si>
  <si>
    <t>SelectPro Software LLC</t>
  </si>
  <si>
    <t>07/23/2019 at 12:07:46 UTC</t>
  </si>
  <si>
    <t>11/14/2022 at 17:41:47 UTC</t>
  </si>
  <si>
    <t>07/31/2019 at 14:54:48 UTC</t>
  </si>
  <si>
    <t>Infinite Biomedical Technologies, LLC</t>
  </si>
  <si>
    <t>Jawbone</t>
  </si>
  <si>
    <t>03/08/2019 at 12:32:00 UTC</t>
  </si>
  <si>
    <t>Sentech America</t>
  </si>
  <si>
    <t>Sentry</t>
  </si>
  <si>
    <t>03/13/2024 at 17:18:14 UTC</t>
  </si>
  <si>
    <t>Serilog</t>
  </si>
  <si>
    <t>02/23/2024 at 02:53:57 UTC</t>
  </si>
  <si>
    <t>Hierynomus</t>
  </si>
  <si>
    <t>02/09/2024 at 16:31:30 UTC</t>
  </si>
  <si>
    <t>OPM</t>
  </si>
  <si>
    <t>09/19/2022 at 18:57:46 UTC</t>
  </si>
  <si>
    <t>ServiceNow</t>
  </si>
  <si>
    <t>08/06/2019 at 12:31:40 UTC</t>
  </si>
  <si>
    <t>VOCAL TECHNOLOGIES</t>
  </si>
  <si>
    <t>Helge Klein</t>
  </si>
  <si>
    <t>07/16/2019 at 12:17:10 UTC</t>
  </si>
  <si>
    <t>04/04/2024 at 15:40:32 UTC</t>
  </si>
  <si>
    <t>04/14/2021 at 08:26:48 UTC</t>
  </si>
  <si>
    <t>02/16/2024 at 17:20:03 UTC</t>
  </si>
  <si>
    <t>SharpCloud</t>
  </si>
  <si>
    <t>Shooter Detection Systems</t>
  </si>
  <si>
    <t>09/21/2020 at 14:30:45 UTC</t>
  </si>
  <si>
    <t>04/23/2020 at 16:23:05 UTC</t>
  </si>
  <si>
    <t>Prodege</t>
  </si>
  <si>
    <t>08/23/2019 at 14:08:21 UTC</t>
  </si>
  <si>
    <t>Shouldly</t>
  </si>
  <si>
    <t>Show My PC</t>
  </si>
  <si>
    <t>12/12/2022 at 03:47:30 UTC</t>
  </si>
  <si>
    <t>Contour Design Inc</t>
  </si>
  <si>
    <t>Sidekiq</t>
  </si>
  <si>
    <t>09/20/2022 at 16:19:47 UTC</t>
  </si>
  <si>
    <t>11/08/2024 at 02:03:22 UTC</t>
  </si>
  <si>
    <t>05/01/2023 at 02:06:31 UTC</t>
  </si>
  <si>
    <t>12/09/2021 at 13:39:30 UTC</t>
  </si>
  <si>
    <t>08/21/2019 at 07:10:55 UTC</t>
  </si>
  <si>
    <t>Ruslan Belashevskuy</t>
  </si>
  <si>
    <t>12/04/2020 at 14:58:15 UTC</t>
  </si>
  <si>
    <t>SilhouetteAmerica</t>
  </si>
  <si>
    <t>04/24/2024 at 18:28:32 UTC</t>
  </si>
  <si>
    <t>02/25/2019 at 10:52:35 UTC</t>
  </si>
  <si>
    <t>Simnet</t>
  </si>
  <si>
    <t>01/30/2024 at 01:11:21 UTC</t>
  </si>
  <si>
    <t>TRGMN Software</t>
  </si>
  <si>
    <t>08/19/2022 at 17:37:40 UTC</t>
  </si>
  <si>
    <t>SingleStore</t>
  </si>
  <si>
    <t>C3 Technology</t>
  </si>
  <si>
    <t>05/28/2019 at 12:17:31 UTC</t>
  </si>
  <si>
    <t>Occipital</t>
  </si>
  <si>
    <t>Arvato</t>
  </si>
  <si>
    <t>06/22/2020 at 16:42:56 UTC</t>
  </si>
  <si>
    <t>Skyscanner</t>
  </si>
  <si>
    <t>Slik</t>
  </si>
  <si>
    <t>08/10/2023 at 00:54:50 UTC</t>
  </si>
  <si>
    <t>Slimware</t>
  </si>
  <si>
    <t>04/01/2020 at 13:07:17 UTC</t>
  </si>
  <si>
    <t>slimRaw</t>
  </si>
  <si>
    <t>02/04/2020 at 11:34:10 UTC</t>
  </si>
  <si>
    <t>07/23/2019 at 12:07:54 UTC</t>
  </si>
  <si>
    <t>Institute for Health Metrics and Evaluation (IHME)</t>
  </si>
  <si>
    <t>08/07/2019 at 11:22:03 UTC</t>
  </si>
  <si>
    <t>PapersApp</t>
  </si>
  <si>
    <t>Natural Point</t>
  </si>
  <si>
    <t>09/16/2022 at 19:27:16 UTC</t>
  </si>
  <si>
    <t>07/20/2020 at 11:42:37 UTC</t>
  </si>
  <si>
    <t>Snap Schedule</t>
  </si>
  <si>
    <t>11/20/2020 at 00:55:56 UTC</t>
  </si>
  <si>
    <t>Snowball Stem</t>
  </si>
  <si>
    <t>Massachusetts Department of Public Health</t>
  </si>
  <si>
    <t>LULU Software, Ltd</t>
  </si>
  <si>
    <t>06/01/2020 at 08:30:50 UTC</t>
  </si>
  <si>
    <t>08/04/2022 at 17:31:57 UTC</t>
  </si>
  <si>
    <t>06/22/2021 at 14:11:08 UTC</t>
  </si>
  <si>
    <t>Astrolabe</t>
  </si>
  <si>
    <t>08/15/2022 at 02:35:30 UTC</t>
  </si>
  <si>
    <t>02/15/2024 at 23:04:18 UTC</t>
  </si>
  <si>
    <t>Solibri</t>
  </si>
  <si>
    <t>SolveigMultimedia</t>
  </si>
  <si>
    <t>Sorenson Media</t>
  </si>
  <si>
    <t>10/01/2019 at 14:48:30 UTC</t>
  </si>
  <si>
    <t>Acqualia</t>
  </si>
  <si>
    <t>Cakewalk</t>
  </si>
  <si>
    <t>Antares</t>
  </si>
  <si>
    <t>12/12/2019 at 08:33:02 UTC</t>
  </si>
  <si>
    <t>Campwood Software</t>
  </si>
  <si>
    <t>07/09/2019 at 07:53:38 UTC</t>
  </si>
  <si>
    <t>Special Uninstaller</t>
  </si>
  <si>
    <t>04/23/2020 at 16:24:26 UTC</t>
  </si>
  <si>
    <t>Speco Technologies</t>
  </si>
  <si>
    <t>Absolute Futurity</t>
  </si>
  <si>
    <t>06/30/2020 at 16:04:55 UTC</t>
  </si>
  <si>
    <t>SpeedyFixer</t>
  </si>
  <si>
    <t>Spellex Corporation</t>
  </si>
  <si>
    <t>04/10/2023 at 02:59:46 UTC</t>
  </si>
  <si>
    <t>Boro Sitnikovski</t>
  </si>
  <si>
    <t>08/23/2019 at 14:08:27 UTC</t>
  </si>
  <si>
    <t>Split View Software</t>
  </si>
  <si>
    <t>09/29/2020 at 12:05:42 UTC</t>
  </si>
  <si>
    <t>SpringSource</t>
  </si>
  <si>
    <t>Fresno State</t>
  </si>
  <si>
    <t>Sprint</t>
  </si>
  <si>
    <t>ACS Technologies Group</t>
  </si>
  <si>
    <t>BinarySense</t>
  </si>
  <si>
    <t>10/25/2024 at 15:59:03 UTC</t>
  </si>
  <si>
    <t>04/23/2020 at 16:23:08 UTC</t>
  </si>
  <si>
    <t>Precision Acoustics</t>
  </si>
  <si>
    <t>01/18/2024 at 02:53:13 UTC</t>
  </si>
  <si>
    <t>Capsa Healthcare</t>
  </si>
  <si>
    <t>09/21/2022 at 02:03:33 UTC</t>
  </si>
  <si>
    <t>Bioinformatics Software</t>
  </si>
  <si>
    <t>09/16/2022 at 19:27:12 UTC</t>
  </si>
  <si>
    <t>The Wellcome Trust Centre for Neuroimaging</t>
  </si>
  <si>
    <t>Analytical Software</t>
  </si>
  <si>
    <t>09/16/2020 at 11:56:53 UTC</t>
  </si>
  <si>
    <t>Valve Corporation</t>
  </si>
  <si>
    <t>08/25/2021 at 03:15:41 UTC</t>
  </si>
  <si>
    <t>10/16/2024 at 21:32:08 UTC</t>
  </si>
  <si>
    <t>Lippincott Williams &amp; Wilkins</t>
  </si>
  <si>
    <t>09/21/2022 at 02:03:36 UTC</t>
  </si>
  <si>
    <t>Stepwise</t>
  </si>
  <si>
    <t>09/28/2022 at 17:40:43 UTC</t>
  </si>
  <si>
    <t>08/19/2020 at 14:47:29 UTC</t>
  </si>
  <si>
    <t>strace</t>
  </si>
  <si>
    <t>The Veterinary Genetics Laboratory (VGL)</t>
  </si>
  <si>
    <t>03/28/2019 at 11:38:58 UTC</t>
  </si>
  <si>
    <t>Apowersoft</t>
  </si>
  <si>
    <t>08/14/2019 at 12:51:41 UTC</t>
  </si>
  <si>
    <t>08/26/2022 at 00:36:47 UTC</t>
  </si>
  <si>
    <t>08/16/2023 at 18:56:19 UTC</t>
  </si>
  <si>
    <t>SQLite Expert</t>
  </si>
  <si>
    <t>08/12/2019 at 13:31:07 UTC</t>
  </si>
  <si>
    <t>StructureMap</t>
  </si>
  <si>
    <t>02/24/2020 at 12:44:03 UTC</t>
  </si>
  <si>
    <t>Style Seven</t>
  </si>
  <si>
    <t>02/22/2021 at 09:55:53 UTC</t>
  </si>
  <si>
    <t>12/15/2023 at 19:32:52 UTC</t>
  </si>
  <si>
    <t>Marie-Karelle Riviere</t>
  </si>
  <si>
    <t>Ubiquia</t>
  </si>
  <si>
    <t>Nikse</t>
  </si>
  <si>
    <t>09/29/2020 at 08:45:59 UTC</t>
  </si>
  <si>
    <t>Krzysztof Kowalczyk</t>
  </si>
  <si>
    <t>03/10/2020 at 12:07:24 UTC</t>
  </si>
  <si>
    <t>Erightsoft</t>
  </si>
  <si>
    <t>02/01/2019 at 09:46:20 UTC</t>
  </si>
  <si>
    <t>Maritz CX</t>
  </si>
  <si>
    <t>Belldev Medical</t>
  </si>
  <si>
    <t>eTeks</t>
  </si>
  <si>
    <t>09/21/2020 at 14:57:36 UTC</t>
  </si>
  <si>
    <t>swiftDialog</t>
  </si>
  <si>
    <t>01/03/2024 at 02:37:34 UTC</t>
  </si>
  <si>
    <t>SwifterSwift</t>
  </si>
  <si>
    <t>07/12/2022 at 02:19:23 UTC</t>
  </si>
  <si>
    <t>David Mohundro</t>
  </si>
  <si>
    <t>08/26/2022 at 00:53:17 UTC</t>
  </si>
  <si>
    <t>01/10/2019 at 21:18:52 UTC</t>
  </si>
  <si>
    <t>Symless</t>
  </si>
  <si>
    <t>09/14/2021 at 02:31:08 UTC</t>
  </si>
  <si>
    <t>09/27/2024 at 16:28:34 UTC</t>
  </si>
  <si>
    <t>Sass-Lang</t>
  </si>
  <si>
    <t>11/29/2023 at 19:30:03 UTC</t>
  </si>
  <si>
    <t>12/15/2023 at 19:32:46 UTC</t>
  </si>
  <si>
    <t>Snomed International</t>
  </si>
  <si>
    <t>02/25/2019 at 10:52:55 UTC</t>
  </si>
  <si>
    <t>SysTools</t>
  </si>
  <si>
    <t>05/23/2019 at 11:52:17 UTC</t>
  </si>
  <si>
    <t>Teachers College Columbia University</t>
  </si>
  <si>
    <t>TechPowerUp</t>
  </si>
  <si>
    <t>Combodo</t>
  </si>
  <si>
    <t>Medweb</t>
  </si>
  <si>
    <t>12/14/2022 at 23:23:04 UTC</t>
  </si>
  <si>
    <t>Mario Kozjak</t>
  </si>
  <si>
    <t>ADDPCS</t>
  </si>
  <si>
    <t>07/29/2019 at 07:24:22 UTC</t>
  </si>
  <si>
    <t>ZOLL Data Management</t>
  </si>
  <si>
    <t>10/20/2022 at 15:34:20 UTC</t>
  </si>
  <si>
    <t>Tencent</t>
  </si>
  <si>
    <t>Tenorshare</t>
  </si>
  <si>
    <t>04/30/2019 at 16:38:21 UTC</t>
  </si>
  <si>
    <t>Tensor Toolbox</t>
  </si>
  <si>
    <t>04/04/2024 at 03:11:20 UTC</t>
  </si>
  <si>
    <t>Tensorlab</t>
  </si>
  <si>
    <t>05/12/2020 at 08:24:25 UTC</t>
  </si>
  <si>
    <t>keerthik</t>
  </si>
  <si>
    <t>Data Recognition Corporation</t>
  </si>
  <si>
    <t>10/01/2019 at 14:48:32 UTC</t>
  </si>
  <si>
    <t>IETF</t>
  </si>
  <si>
    <t>Macpaw</t>
  </si>
  <si>
    <t>Accenture</t>
  </si>
  <si>
    <t>CPSI</t>
  </si>
  <si>
    <t>08/26/2020 at 16:31:52 UTC</t>
  </si>
  <si>
    <t>Cerious Software</t>
  </si>
  <si>
    <t>GlavSoft</t>
  </si>
  <si>
    <t>Nestersoft</t>
  </si>
  <si>
    <t>Acroprint</t>
  </si>
  <si>
    <t>Sakura FineTek USA</t>
  </si>
  <si>
    <t>TITUS, Inc</t>
  </si>
  <si>
    <t>05/19/2020 at 12:52:36 UTC</t>
  </si>
  <si>
    <t>Amvidia</t>
  </si>
  <si>
    <t>07/31/2019 at 14:16:04 UTC</t>
  </si>
  <si>
    <t>11/25/2024 at 18:02:06 UTC</t>
  </si>
  <si>
    <t>02/12/2019 at 09:48:31 UTC</t>
  </si>
  <si>
    <t>Torch Media</t>
  </si>
  <si>
    <t>12/13/2019 at 12:13:35 UTC</t>
  </si>
  <si>
    <t>Binary Age</t>
  </si>
  <si>
    <t>Path Solutions</t>
  </si>
  <si>
    <t>11/23/2022 at 21:47:11 UTC</t>
  </si>
  <si>
    <t>Totara Learning Inc</t>
  </si>
  <si>
    <t>08/23/2019 at 14:08:28 UTC</t>
  </si>
  <si>
    <t>DynaTouch</t>
  </si>
  <si>
    <t>07/09/2019 at 15:10:26 UTC</t>
  </si>
  <si>
    <t>Acesoft</t>
  </si>
  <si>
    <t>07/29/2019 at 07:24:31 UTC</t>
  </si>
  <si>
    <t>Actualize Consulting</t>
  </si>
  <si>
    <t>Acute Systems</t>
  </si>
  <si>
    <t>04/30/2020 at 14:27:50 UTC</t>
  </si>
  <si>
    <t>TriNetX</t>
  </si>
  <si>
    <t>04/17/2024 at 13:35:00 UTC</t>
  </si>
  <si>
    <t>R-Hub</t>
  </si>
  <si>
    <t>06/05/2020 at 00:36:56 UTC</t>
  </si>
  <si>
    <t>05/28/2020 at 16:31:09 UTC</t>
  </si>
  <si>
    <t>Dmitry Efimenko</t>
  </si>
  <si>
    <t>UltiDev</t>
  </si>
  <si>
    <t>08/13/2020 at 12:16:06 UTC</t>
  </si>
  <si>
    <t>Karamasoft LLC</t>
  </si>
  <si>
    <t>03/16/2020 at 22:27:34 UTC</t>
  </si>
  <si>
    <t>Digital Tigers</t>
  </si>
  <si>
    <t>Primus</t>
  </si>
  <si>
    <t>08/14/2019 at 12:51:45 UTC</t>
  </si>
  <si>
    <t>02/25/2019 at 10:28:47 UTC</t>
  </si>
  <si>
    <t>08/13/2019 at 12:32:10 UTC</t>
  </si>
  <si>
    <t>Oxford University United Kingdom Prospective Diabetes Trials Unit</t>
  </si>
  <si>
    <t>09/21/2022 at 02:04:19 UTC</t>
  </si>
  <si>
    <t>Unitrends</t>
  </si>
  <si>
    <t>Universal Laser Systems</t>
  </si>
  <si>
    <t>11/28/2022 at 02:39:45 UTC</t>
  </si>
  <si>
    <t>Tomasz Mon</t>
  </si>
  <si>
    <t>Konexx</t>
  </si>
  <si>
    <t>07/29/2019 at 07:24:28 UTC</t>
  </si>
  <si>
    <t>08/29/2019 at 15:18:02 UTC</t>
  </si>
  <si>
    <t>Mark Woan</t>
  </si>
  <si>
    <t>03/27/2024 at 02:56:37 UTC</t>
  </si>
  <si>
    <t>08/21/2019 at 07:10:50 UTC</t>
  </si>
  <si>
    <t>Optos</t>
  </si>
  <si>
    <t>Matthew Wilson</t>
  </si>
  <si>
    <t>03/08/2019 at 12:32:22 UTC</t>
  </si>
  <si>
    <t>Varidesk, Inc</t>
  </si>
  <si>
    <t>Adersoft</t>
  </si>
  <si>
    <t>02/10/2020 at 08:39:01 UTC</t>
  </si>
  <si>
    <t>04/27/2020 at 08:37:19 UTC</t>
  </si>
  <si>
    <t>Avanset</t>
  </si>
  <si>
    <t>Crane Payment Innovations</t>
  </si>
  <si>
    <t>Veratics</t>
  </si>
  <si>
    <t>CGTech</t>
  </si>
  <si>
    <t>Honestech</t>
  </si>
  <si>
    <t>11/23/2022 at 21:47:12 UTC</t>
  </si>
  <si>
    <t>Aimersoft</t>
  </si>
  <si>
    <t>FreeMake</t>
  </si>
  <si>
    <t>06/19/2019 at 13:37:51 UTC</t>
  </si>
  <si>
    <t>AMN Healthcare</t>
  </si>
  <si>
    <t>05/26/2023 at 18:05:49 UTC</t>
  </si>
  <si>
    <t>Viking Electronics</t>
  </si>
  <si>
    <t>Windows Software from Eugene Muzychenko</t>
  </si>
  <si>
    <t>07/03/2024 at 19:34:06 UTC</t>
  </si>
  <si>
    <t>University of Southern Florida</t>
  </si>
  <si>
    <t>10/12/2022 at 15:00:58 UTC</t>
  </si>
  <si>
    <t>E2ESOFT</t>
  </si>
  <si>
    <t>Visilearn</t>
  </si>
  <si>
    <t>BRIT Systems</t>
  </si>
  <si>
    <t>01/10/2023 at 02:26:14 UTC</t>
  </si>
  <si>
    <t>Lytrod Software</t>
  </si>
  <si>
    <t>11/28/2022 at 03:15:59 UTC</t>
  </si>
  <si>
    <t>Raptor Technology</t>
  </si>
  <si>
    <t>02/14/2020 at 15:05:09 UTC</t>
  </si>
  <si>
    <t>GovConnection Inc</t>
  </si>
  <si>
    <t>08/14/2019 at 15:05:40 UTC</t>
  </si>
  <si>
    <t>Vivaldi Technologies</t>
  </si>
  <si>
    <t>02/07/2024 at 18:08:59 UTC</t>
  </si>
  <si>
    <t>Voiceye</t>
  </si>
  <si>
    <t>09/30/2020 at 12:11:47 UTC</t>
  </si>
  <si>
    <t>VSee</t>
  </si>
  <si>
    <t>Hamrick Software</t>
  </si>
  <si>
    <t>09/01/2020 at 10:34:37 UTC</t>
  </si>
  <si>
    <t>Creaform</t>
  </si>
  <si>
    <t>07/29/2019 at 07:24:25 UTC</t>
  </si>
  <si>
    <t>01/30/2024 at 01:11:45 UTC</t>
  </si>
  <si>
    <t>Alter Way</t>
  </si>
  <si>
    <t>09/10/2019 at 11:25:12 UTC</t>
  </si>
  <si>
    <t>Waratek</t>
  </si>
  <si>
    <t>Watched</t>
  </si>
  <si>
    <t>07/31/2019 at 14:16:06 UTC</t>
  </si>
  <si>
    <t>07/19/2022 at 12:49:28 UTC</t>
  </si>
  <si>
    <t>WaveWare Technologies</t>
  </si>
  <si>
    <t>05/19/2022 at 16:37:52 UTC</t>
  </si>
  <si>
    <t>Voiceware</t>
  </si>
  <si>
    <t>10/14/2024 at 01:23:29 UTC</t>
  </si>
  <si>
    <t>08/08/2019 at 07:00:51 UTC</t>
  </si>
  <si>
    <t>01/11/2024 at 17:00:42 UTC</t>
  </si>
  <si>
    <t>11/29/2024 at 20:47:23 UTC</t>
  </si>
  <si>
    <t>10/23/2018 at 22:25:20 UTC</t>
  </si>
  <si>
    <t>SouthRiverTech</t>
  </si>
  <si>
    <t>05/12/2019 at 17:28:40 UTC</t>
  </si>
  <si>
    <t>06/30/2020 at 15:38:26 UTC</t>
  </si>
  <si>
    <t>06/27/2019 at 12:47:35 UTC</t>
  </si>
  <si>
    <t>Polar</t>
  </si>
  <si>
    <t>01/17/2020 at 13:34:08 UTC</t>
  </si>
  <si>
    <t>WellBeats</t>
  </si>
  <si>
    <t>01/09/2024 at 23:55:40 UTC</t>
  </si>
  <si>
    <t>WhiteSmoke</t>
  </si>
  <si>
    <t>Widdershins</t>
  </si>
  <si>
    <t>10/04/2024 at 20:50:51 UTC</t>
  </si>
  <si>
    <t>Parmavex</t>
  </si>
  <si>
    <t>10/18/2019 at 07:34:52 UTC</t>
  </si>
  <si>
    <t>Andrew Zhezherun</t>
  </si>
  <si>
    <t>03/05/2019 at 08:37:41 UTC</t>
  </si>
  <si>
    <t>11/14/2019 at 09:26:33 UTC</t>
  </si>
  <si>
    <t>Applian Technologies</t>
  </si>
  <si>
    <t>01/11/2024 at 19:18:13 UTC</t>
  </si>
  <si>
    <t>Renishaw</t>
  </si>
  <si>
    <t>WinISO</t>
  </si>
  <si>
    <t>08/14/2019 at 12:51:37 UTC</t>
  </si>
  <si>
    <t>EOLSOFT</t>
  </si>
  <si>
    <t>Appnor</t>
  </si>
  <si>
    <t>Medical International Research</t>
  </si>
  <si>
    <t>11/26/2022 at 01:18:22 UTC</t>
  </si>
  <si>
    <t>Hauppauge</t>
  </si>
  <si>
    <t>06/18/2019 at 09:42:14 UTC</t>
  </si>
  <si>
    <t>WinWay Corporation</t>
  </si>
  <si>
    <t>10/21/2020 at 09:20:29 UTC</t>
  </si>
  <si>
    <t>OMA</t>
  </si>
  <si>
    <t>WiseCleaner</t>
  </si>
  <si>
    <t>05/14/2019 at 09:35:02 UTC</t>
  </si>
  <si>
    <t>11/14/2019 at 09:26:32 UTC</t>
  </si>
  <si>
    <t>06/28/2019 at 13:56:08 UTC</t>
  </si>
  <si>
    <t>Riverside Publishing</t>
  </si>
  <si>
    <t>01/06/2020 at 17:11:30 UTC</t>
  </si>
  <si>
    <t>06/26/2020 at 09:10:12 UTC</t>
  </si>
  <si>
    <t>OnBarcode</t>
  </si>
  <si>
    <t>Matt Scott</t>
  </si>
  <si>
    <t>08/02/2023 at 15:21:17 UTC</t>
  </si>
  <si>
    <t>PenPower</t>
  </si>
  <si>
    <t>03/19/2019 at 09:54:16 UTC</t>
  </si>
  <si>
    <t>Wound Zoom</t>
  </si>
  <si>
    <t>05/28/2019 at 12:17:29 UTC</t>
  </si>
  <si>
    <t>WS-I</t>
  </si>
  <si>
    <t>01/25/2024 at 01:35:17 UTC</t>
  </si>
  <si>
    <t>01/25/2024 at 01:35:25 UTC</t>
  </si>
  <si>
    <t>AVST</t>
  </si>
  <si>
    <t>Colin Harrison</t>
  </si>
  <si>
    <t>01/14/2020 at 21:26:29 UTC</t>
  </si>
  <si>
    <t>Zabkat, Inc</t>
  </si>
  <si>
    <t>xSocket</t>
  </si>
  <si>
    <t>01/06/2019 at 21:38:39 UTC</t>
  </si>
  <si>
    <t>Yargs</t>
  </si>
  <si>
    <t>Yahoo!</t>
  </si>
  <si>
    <t>Yahoo</t>
  </si>
  <si>
    <t>08/18/2020 at 08:55:04 UTC</t>
  </si>
  <si>
    <t>youdao</t>
  </si>
  <si>
    <t>ZVRS</t>
  </si>
  <si>
    <t>Zan</t>
  </si>
  <si>
    <t>05/01/2020 at 14:08:56 UTC</t>
  </si>
  <si>
    <t>Zap Technologies</t>
  </si>
  <si>
    <t>Harvard University Institute for Quantitative Social Science</t>
  </si>
  <si>
    <t>10/25/2022 at 19:18:09 UTC</t>
  </si>
  <si>
    <t>Zenalux Biomedical</t>
  </si>
  <si>
    <t>ZenMate VPN</t>
  </si>
  <si>
    <t>04/06/2023 at 16:17:18 UTC</t>
  </si>
  <si>
    <t>Chilkat Software</t>
  </si>
  <si>
    <t>10/28/2020 at 15:40:28 UTC</t>
  </si>
  <si>
    <t>eleveo</t>
  </si>
  <si>
    <t>01/25/2024 at 01:34:47 UTC</t>
  </si>
  <si>
    <t>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</si>
</sst>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\ AM/PM"/>
  </numFmts>
  <fonts count="4">
    <font>
      <sz val="11"/>
      <name val="Calibri"/>
    </font>
    <font>
      <b/>
      <sz val="11"/>
      <color rgb="FF000000"/>
      <name val="Calibri"/>
    </font>
    <font>
      <sz val="11"/>
      <color rgb="FF4A452A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BBFFF"/>
      </patternFill>
    </fill>
    <fill>
      <patternFill patternType="solid">
        <fgColor rgb="FFE4E4E4"/>
      </patternFill>
    </fill>
  </fills>
  <borders count="5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left" wrapText="1"/>
    </xf>
    <xf numFmtId="0" fontId="1" fillId="2" borderId="2" xfId="0" applyNumberFormat="1" applyFont="1" applyFill="1" applyBorder="1" applyAlignment="1">
      <alignment horizontal="left" wrapText="1"/>
    </xf>
    <xf numFmtId="0" fontId="2" fillId="3" borderId="4" xfId="0" applyNumberFormat="1" applyFont="1" applyFill="1" applyBorder="1" applyAlignment="1">
      <alignment horizontal="left" wrapText="1"/>
    </xf>
    <xf numFmtId="0" fontId="3" fillId="3" borderId="4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left" wrapText="1"/>
    </xf>
    <xf numFmtId="0" fontId="0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87"/>
  <sheetViews>
    <sheetView tabSelected="1" workbookViewId="0">
      <selection sqref="A1:XFD1048576"/>
    </sheetView>
  </sheetViews>
  <sheetFormatPr defaultRowHeight="15"/>
  <cols>
    <col min="1" max="1" width="60" style="2" customWidth="1"/>
    <col min="2" max="2" width="40" style="2" customWidth="1"/>
    <col min="3" max="3" width="20" style="7" customWidth="1"/>
    <col min="4" max="4" width="20" style="10" customWidth="1"/>
  </cols>
  <sheetData>
    <row r="1" spans="1:4" ht="30">
      <c r="A1" s="3" t="s">
        <v>0</v>
      </c>
      <c r="B1" s="6" t="s">
        <v>1</v>
      </c>
      <c r="C1" s="1" t="s">
        <v>2</v>
      </c>
      <c r="D1" s="9" t="s">
        <v>3</v>
      </c>
    </row>
    <row r="2" spans="1:4" ht="30">
      <c r="A2" s="5" t="str">
        <f>HYPERLINK("https://www.oit.va.gov/Services/TRM/ToolPage.aspx?tid=14874^","FmPro Migrator")</f>
        <v>FmPro Migrator</v>
      </c>
      <c r="B2" s="4" t="s">
        <v>1553</v>
      </c>
      <c r="C2" s="8" t="s">
        <v>5</v>
      </c>
      <c r="D2" s="11" t="s">
        <v>1554</v>
      </c>
    </row>
    <row r="3" spans="1:4" ht="30">
      <c r="A3" s="5" t="str">
        <f>HYPERLINK("https://www.oit.va.gov/Services/TRM/ToolPage.aspx?tid=14244^","Planning.decimal (p.d)")</f>
        <v>Planning.decimal (p.d)</v>
      </c>
      <c r="B3" s="4" t="s">
        <v>78</v>
      </c>
      <c r="C3" s="8" t="s">
        <v>5</v>
      </c>
      <c r="D3" s="11" t="s">
        <v>79</v>
      </c>
    </row>
    <row r="4" spans="1:4" ht="30">
      <c r="A4" s="5" t="str">
        <f>HYPERLINK("https://www.oit.va.gov/Services/TRM/ToolPage.aspx?tid=6732^","SecureBlackbox Delphi Edition")</f>
        <v>SecureBlackbox Delphi Edition</v>
      </c>
      <c r="B4" s="4" t="s">
        <v>262</v>
      </c>
      <c r="C4" s="8" t="s">
        <v>5</v>
      </c>
      <c r="D4" s="11" t="s">
        <v>263</v>
      </c>
    </row>
    <row r="5" spans="1:4" ht="30">
      <c r="A5" s="5" t="str">
        <f>HYPERLINK("https://www.oit.va.gov/Services/TRM/ToolPage.aspx?tid=16156^","Cell Ranger")</f>
        <v>Cell Ranger</v>
      </c>
      <c r="B5" s="4" t="s">
        <v>3201</v>
      </c>
      <c r="C5" s="8" t="s">
        <v>5</v>
      </c>
      <c r="D5" s="11" t="s">
        <v>3202</v>
      </c>
    </row>
    <row r="6" spans="1:4" ht="30">
      <c r="A6" s="5" t="str">
        <f>HYPERLINK("https://www.oit.va.gov/Services/TRM/ToolPage.aspx?tid=16175^","Loupe Browser")</f>
        <v>Loupe Browser</v>
      </c>
      <c r="B6" s="4" t="s">
        <v>3201</v>
      </c>
      <c r="C6" s="8" t="s">
        <v>5</v>
      </c>
      <c r="D6" s="11" t="s">
        <v>6804</v>
      </c>
    </row>
    <row r="7" spans="1:4" ht="30">
      <c r="A7" s="5" t="str">
        <f>HYPERLINK("https://www.oit.va.gov/Services/TRM/ToolPage.aspx?tid=16747^","Loupe Variable, Diversity, and Joining (V(D)J) Browser")</f>
        <v>Loupe Variable, Diversity, and Joining (V(D)J) Browser</v>
      </c>
      <c r="B7" s="4" t="s">
        <v>3201</v>
      </c>
      <c r="C7" s="8" t="s">
        <v>5</v>
      </c>
      <c r="D7" s="11" t="s">
        <v>6805</v>
      </c>
    </row>
    <row r="8" spans="1:4" ht="30">
      <c r="A8" s="5" t="str">
        <f>HYPERLINK("https://www.oit.va.gov/Services/TRM/ToolPage.aspx?tid=8086^","Breevy")</f>
        <v>Breevy</v>
      </c>
      <c r="B8" s="4" t="s">
        <v>2423</v>
      </c>
      <c r="C8" s="8" t="s">
        <v>5</v>
      </c>
      <c r="D8" s="11" t="s">
        <v>2424</v>
      </c>
    </row>
    <row r="9" spans="1:4" ht="30">
      <c r="A9" s="5" t="str">
        <f>HYPERLINK("https://www.oit.va.gov/Services/TRM/ToolPage.aspx?tid=5526^","NightWatchman")</f>
        <v>NightWatchman</v>
      </c>
      <c r="B9" s="4" t="s">
        <v>1771</v>
      </c>
      <c r="C9" s="8" t="s">
        <v>5</v>
      </c>
      <c r="D9" s="11" t="s">
        <v>1772</v>
      </c>
    </row>
    <row r="10" spans="1:4" ht="30">
      <c r="A10" s="5" t="str">
        <f>HYPERLINK("https://www.oit.va.gov/Services/TRM/ToolPage.aspx?tid=14305^","Tachyon")</f>
        <v>Tachyon</v>
      </c>
      <c r="B10" s="4" t="s">
        <v>1771</v>
      </c>
      <c r="C10" s="8" t="s">
        <v>5</v>
      </c>
      <c r="D10" s="11" t="s">
        <v>1984</v>
      </c>
    </row>
    <row r="11" spans="1:4" ht="30">
      <c r="A11" s="5" t="str">
        <f>HYPERLINK("https://www.oit.va.gov/Services/TRM/ToolPage.aspx?tid=9841^","1E Client")</f>
        <v>1E Client</v>
      </c>
      <c r="B11" s="4" t="s">
        <v>1771</v>
      </c>
      <c r="C11" s="8" t="s">
        <v>5</v>
      </c>
      <c r="D11" s="11" t="s">
        <v>997</v>
      </c>
    </row>
    <row r="12" spans="1:4" ht="30">
      <c r="A12" s="5" t="str">
        <f>HYPERLINK("https://www.oit.va.gov/Services/TRM/ToolPage.aspx?tid=9089^","AppClarity")</f>
        <v>AppClarity</v>
      </c>
      <c r="B12" s="4" t="s">
        <v>1771</v>
      </c>
      <c r="C12" s="8" t="s">
        <v>5</v>
      </c>
      <c r="D12" s="11" t="s">
        <v>5058</v>
      </c>
    </row>
    <row r="13" spans="1:4" ht="30">
      <c r="A13" s="5" t="str">
        <f>HYPERLINK("https://www.oit.va.gov/Services/TRM/ToolPage.aspx?tid=8525^","Shopping")</f>
        <v>Shopping</v>
      </c>
      <c r="B13" s="4" t="s">
        <v>1771</v>
      </c>
      <c r="C13" s="8" t="s">
        <v>5</v>
      </c>
      <c r="D13" s="11" t="s">
        <v>5507</v>
      </c>
    </row>
    <row r="14" spans="1:4" ht="30">
      <c r="A14" s="5" t="str">
        <f>HYPERLINK("https://www.oit.va.gov/Services/TRM/ToolPage.aspx?tid=8954^","2020 CAP")</f>
        <v>2020 CAP</v>
      </c>
      <c r="B14" s="4" t="s">
        <v>543</v>
      </c>
      <c r="C14" s="8" t="s">
        <v>5</v>
      </c>
      <c r="D14" s="11" t="s">
        <v>544</v>
      </c>
    </row>
    <row r="15" spans="1:4" ht="30">
      <c r="A15" s="5" t="str">
        <f>HYPERLINK("https://www.oit.va.gov/Services/TRM/ToolPage.aspx?tid=16638^","2020 Design Live")</f>
        <v>2020 Design Live</v>
      </c>
      <c r="B15" s="4" t="s">
        <v>543</v>
      </c>
      <c r="C15" s="8" t="s">
        <v>5</v>
      </c>
      <c r="D15" s="11" t="s">
        <v>6214</v>
      </c>
    </row>
    <row r="16" spans="1:4" ht="30">
      <c r="A16" s="5" t="str">
        <f>HYPERLINK("https://www.oit.va.gov/Services/TRM/ToolPage.aspx?tid=14204^","22Miles")</f>
        <v>22Miles</v>
      </c>
      <c r="B16" s="4" t="s">
        <v>5606</v>
      </c>
      <c r="C16" s="8" t="s">
        <v>5</v>
      </c>
      <c r="D16" s="11" t="s">
        <v>434</v>
      </c>
    </row>
    <row r="17" spans="1:4" ht="30">
      <c r="A17" s="5" t="str">
        <f>HYPERLINK("https://www.oit.va.gov/Services/TRM/ToolPage.aspx?tid=13492^","SyncBackSE")</f>
        <v>SyncBackSE</v>
      </c>
      <c r="B17" s="4" t="s">
        <v>6095</v>
      </c>
      <c r="C17" s="8" t="s">
        <v>5</v>
      </c>
      <c r="D17" s="11" t="s">
        <v>4437</v>
      </c>
    </row>
    <row r="18" spans="1:4" ht="30">
      <c r="A18" s="5" t="str">
        <f>HYPERLINK("https://www.oit.va.gov/Services/TRM/StandardPage.aspx?tid=8252^","OAuth")</f>
        <v>OAuth</v>
      </c>
      <c r="B18" s="4" t="s">
        <v>2813</v>
      </c>
      <c r="C18" s="8" t="s">
        <v>5</v>
      </c>
      <c r="D18" s="11" t="s">
        <v>2814</v>
      </c>
    </row>
    <row r="19" spans="1:4" ht="30">
      <c r="A19" s="5" t="str">
        <f>HYPERLINK("https://www.oit.va.gov/Services/TRM/ToolPage.aspx?tid=11209^","3CDaemon")</f>
        <v>3CDaemon</v>
      </c>
      <c r="B19" s="4" t="s">
        <v>2813</v>
      </c>
      <c r="C19" s="8" t="s">
        <v>5</v>
      </c>
      <c r="D19" s="11" t="s">
        <v>5113</v>
      </c>
    </row>
    <row r="20" spans="1:4" ht="30">
      <c r="A20" s="5" t="str">
        <f>HYPERLINK("https://www.oit.va.gov/Services/TRM/ToolPage.aspx?tid=13471^","3CX Phone System")</f>
        <v>3CX Phone System</v>
      </c>
      <c r="B20" s="4" t="s">
        <v>6217</v>
      </c>
      <c r="C20" s="8" t="s">
        <v>5</v>
      </c>
      <c r="D20" s="11" t="s">
        <v>3168</v>
      </c>
    </row>
    <row r="21" spans="1:4" ht="30">
      <c r="A21" s="5" t="str">
        <f>HYPERLINK("https://www.oit.va.gov/Services/TRM/ToolPage.aspx?tid=16127^","Syncfusion React")</f>
        <v>Syncfusion React</v>
      </c>
      <c r="B21" s="4" t="s">
        <v>1978</v>
      </c>
      <c r="C21" s="8" t="s">
        <v>5</v>
      </c>
      <c r="D21" s="11" t="s">
        <v>1979</v>
      </c>
    </row>
    <row r="22" spans="1:4" ht="30">
      <c r="A22" s="5" t="str">
        <f>HYPERLINK("https://www.oit.va.gov/Services/TRM/ToolPage.aspx?tid=13398^","Terf")</f>
        <v>Terf</v>
      </c>
      <c r="B22" s="4" t="s">
        <v>1978</v>
      </c>
      <c r="C22" s="8" t="s">
        <v>5</v>
      </c>
      <c r="D22" s="11" t="s">
        <v>7219</v>
      </c>
    </row>
    <row r="23" spans="1:4" ht="30">
      <c r="A23" s="5" t="str">
        <f>HYPERLINK("https://www.oit.va.gov/Services/TRM/ToolPage.aspx?tid=16177^","Accounts Receivable Management System Provider Reimbursement Optimization (ARMS PRO)")</f>
        <v>Accounts Receivable Management System Provider Reimbursement Optimization (ARMS PRO)</v>
      </c>
      <c r="B23" s="4" t="s">
        <v>7376</v>
      </c>
      <c r="C23" s="8" t="s">
        <v>5</v>
      </c>
      <c r="D23" s="11" t="s">
        <v>7377</v>
      </c>
    </row>
    <row r="24" spans="1:4" ht="30">
      <c r="A24" s="5" t="str">
        <f>HYPERLINK("https://www.oit.va.gov/Services/TRM/ToolPage.aspx?tid=13666^","3Dconnexion Collage")</f>
        <v>3Dconnexion Collage</v>
      </c>
      <c r="B24" s="4" t="s">
        <v>348</v>
      </c>
      <c r="C24" s="8" t="s">
        <v>5</v>
      </c>
      <c r="D24" s="11" t="s">
        <v>349</v>
      </c>
    </row>
    <row r="25" spans="1:4" ht="30">
      <c r="A25" s="5" t="str">
        <f>HYPERLINK("https://www.oit.va.gov/Services/TRM/ToolPage.aspx?tid=9952^","3DxWare")</f>
        <v>3DxWare</v>
      </c>
      <c r="B25" s="4" t="s">
        <v>348</v>
      </c>
      <c r="C25" s="8" t="s">
        <v>5</v>
      </c>
      <c r="D25" s="11" t="s">
        <v>2665</v>
      </c>
    </row>
    <row r="26" spans="1:4" ht="30">
      <c r="A26" s="5" t="str">
        <f>HYPERLINK("https://www.oit.va.gov/Services/TRM/ToolPage.aspx?tid=15227^","CaseCenter")</f>
        <v>CaseCenter</v>
      </c>
      <c r="B26" s="4" t="s">
        <v>377</v>
      </c>
      <c r="C26" s="8" t="s">
        <v>5</v>
      </c>
      <c r="D26" s="11" t="s">
        <v>378</v>
      </c>
    </row>
    <row r="27" spans="1:4" ht="30">
      <c r="A27" s="5" t="str">
        <f>HYPERLINK("https://www.oit.va.gov/Services/TRM/ToolPage.aspx?tid=14227^","No Magic Cameo Collaborator for Teamwork Cloud")</f>
        <v>No Magic Cameo Collaborator for Teamwork Cloud</v>
      </c>
      <c r="B27" s="4" t="s">
        <v>4510</v>
      </c>
      <c r="C27" s="8" t="s">
        <v>5</v>
      </c>
      <c r="D27" s="11" t="s">
        <v>4276</v>
      </c>
    </row>
    <row r="28" spans="1:4" ht="30">
      <c r="A28" s="5" t="str">
        <f>HYPERLINK("https://www.oit.va.gov/Services/TRM/ToolPage.aspx?tid=15168^","3D Sprint")</f>
        <v>3D Sprint</v>
      </c>
      <c r="B28" s="4" t="s">
        <v>3685</v>
      </c>
      <c r="C28" s="8" t="s">
        <v>5</v>
      </c>
      <c r="D28" s="11" t="s">
        <v>3686</v>
      </c>
    </row>
    <row r="29" spans="1:4" ht="30">
      <c r="A29" s="5" t="str">
        <f>HYPERLINK("https://www.oit.va.gov/Services/TRM/ToolPage.aspx?tid=13148^","Dicom to Print (D2P)")</f>
        <v>Dicom to Print (D2P)</v>
      </c>
      <c r="B29" s="4" t="s">
        <v>3685</v>
      </c>
      <c r="C29" s="8" t="s">
        <v>5</v>
      </c>
      <c r="D29" s="11" t="s">
        <v>547</v>
      </c>
    </row>
    <row r="30" spans="1:4" ht="30">
      <c r="A30" s="5" t="str">
        <f>HYPERLINK("https://www.oit.va.gov/Services/TRM/ToolPage.aspx?tid=13376^","Geomagic Design X")</f>
        <v>Geomagic Design X</v>
      </c>
      <c r="B30" s="4" t="s">
        <v>3685</v>
      </c>
      <c r="C30" s="8" t="s">
        <v>5</v>
      </c>
      <c r="D30" s="11" t="s">
        <v>6239</v>
      </c>
    </row>
    <row r="31" spans="1:4" ht="30">
      <c r="A31" s="5" t="str">
        <f>HYPERLINK("https://www.oit.va.gov/Services/TRM/ToolPage.aspx?tid=15178^","Coding and Reimbursement System Plus (CRS+)")</f>
        <v>Coding and Reimbursement System Plus (CRS+)</v>
      </c>
      <c r="B31" s="4" t="s">
        <v>1444</v>
      </c>
      <c r="C31" s="8" t="s">
        <v>5</v>
      </c>
      <c r="D31" s="11" t="s">
        <v>1445</v>
      </c>
    </row>
    <row r="32" spans="1:4" ht="30">
      <c r="A32" s="5" t="str">
        <f>HYPERLINK("https://www.oit.va.gov/Services/TRM/ToolPage.aspx?tid=15700^","Modal Fluency for Transcription")</f>
        <v>Modal Fluency for Transcription</v>
      </c>
      <c r="B32" s="4" t="s">
        <v>1444</v>
      </c>
      <c r="C32" s="8" t="s">
        <v>5</v>
      </c>
      <c r="D32" s="11" t="s">
        <v>2785</v>
      </c>
    </row>
    <row r="33" spans="1:4" ht="30">
      <c r="A33" s="5" t="str">
        <f>HYPERLINK("https://www.oit.va.gov/Services/TRM/ToolPage.aspx?tid=11335^","ChartLinc")</f>
        <v>ChartLinc</v>
      </c>
      <c r="B33" s="4" t="s">
        <v>1444</v>
      </c>
      <c r="C33" s="8" t="s">
        <v>5</v>
      </c>
      <c r="D33" s="11" t="s">
        <v>3906</v>
      </c>
    </row>
    <row r="34" spans="1:4" ht="30">
      <c r="A34" s="5" t="str">
        <f>HYPERLINK("https://www.oit.va.gov/Services/TRM/ToolPage.aspx?tid=11044^","Connexion")</f>
        <v>Connexion</v>
      </c>
      <c r="B34" s="4" t="s">
        <v>1444</v>
      </c>
      <c r="C34" s="8" t="s">
        <v>5</v>
      </c>
      <c r="D34" s="11" t="s">
        <v>3966</v>
      </c>
    </row>
    <row r="35" spans="1:4" ht="30">
      <c r="A35" s="5" t="str">
        <f>HYPERLINK("https://www.oit.va.gov/Services/TRM/ToolPage.aspx?tid=11047^","MedX")</f>
        <v>MedX</v>
      </c>
      <c r="B35" s="4" t="s">
        <v>1444</v>
      </c>
      <c r="C35" s="8" t="s">
        <v>5</v>
      </c>
      <c r="D35" s="11" t="s">
        <v>4355</v>
      </c>
    </row>
    <row r="36" spans="1:4" ht="30">
      <c r="A36" s="5" t="str">
        <f>HYPERLINK("https://www.oit.va.gov/Services/TRM/ToolPage.aspx?tid=14554^","Mmodal Fluency Direct")</f>
        <v>Mmodal Fluency Direct</v>
      </c>
      <c r="B36" s="4" t="s">
        <v>1444</v>
      </c>
      <c r="C36" s="8" t="s">
        <v>5</v>
      </c>
      <c r="D36" s="11" t="s">
        <v>4440</v>
      </c>
    </row>
    <row r="37" spans="1:4" ht="30">
      <c r="A37" s="5" t="str">
        <f>HYPERLINK("https://www.oit.va.gov/Services/TRM/ToolPage.aspx?tid=11311^","ProviderID")</f>
        <v>ProviderID</v>
      </c>
      <c r="B37" s="4" t="s">
        <v>1444</v>
      </c>
      <c r="C37" s="8" t="s">
        <v>5</v>
      </c>
      <c r="D37" s="11" t="s">
        <v>328</v>
      </c>
    </row>
    <row r="38" spans="1:4" ht="30">
      <c r="A38" s="5" t="str">
        <f>HYPERLINK("https://www.oit.va.gov/Services/TRM/ToolPage.aspx?tid=7100^","All Patient Refined Diagnosis Related Groups (APR DRG)")</f>
        <v>All Patient Refined Diagnosis Related Groups (APR DRG)</v>
      </c>
      <c r="B38" s="4" t="s">
        <v>1444</v>
      </c>
      <c r="C38" s="8" t="s">
        <v>5</v>
      </c>
      <c r="D38" s="11" t="s">
        <v>6258</v>
      </c>
    </row>
    <row r="39" spans="1:4" ht="30">
      <c r="A39" s="5" t="str">
        <f>HYPERLINK("https://www.oit.va.gov/Services/TRM/ToolPage.aspx?tid=7101^","Enhanced Ambulatory Patient Grouping (EAPG)")</f>
        <v>Enhanced Ambulatory Patient Grouping (EAPG)</v>
      </c>
      <c r="B39" s="4" t="s">
        <v>1444</v>
      </c>
      <c r="C39" s="8" t="s">
        <v>5</v>
      </c>
      <c r="D39" s="11" t="s">
        <v>6578</v>
      </c>
    </row>
    <row r="40" spans="1:4" ht="30">
      <c r="A40" s="5" t="str">
        <f>HYPERLINK("https://www.oit.va.gov/Services/TRM/ToolPage.aspx?tid=13386^","Questsuite Professional (QSP)")</f>
        <v>Questsuite Professional (QSP)</v>
      </c>
      <c r="B40" s="4" t="s">
        <v>1444</v>
      </c>
      <c r="C40" s="8" t="s">
        <v>5</v>
      </c>
      <c r="D40" s="11" t="s">
        <v>7056</v>
      </c>
    </row>
    <row r="41" spans="1:4" ht="30">
      <c r="A41" s="5" t="str">
        <f>HYPERLINK("https://www.oit.va.gov/Services/TRM/ToolPage.aspx?tid=14895^","3M CleanTrace NGi Synchronisation Manager")</f>
        <v>3M CleanTrace NGi Synchronisation Manager</v>
      </c>
      <c r="B41" s="4" t="s">
        <v>1444</v>
      </c>
      <c r="C41" s="8" t="s">
        <v>5</v>
      </c>
      <c r="D41" s="11" t="s">
        <v>3468</v>
      </c>
    </row>
    <row r="42" spans="1:4" ht="30">
      <c r="A42" s="5" t="str">
        <f>HYPERLINK("https://www.oit.va.gov/Services/TRM/ToolPage.aspx?tid=13352^","3M Digital Annotation software")</f>
        <v>3M Digital Annotation software</v>
      </c>
      <c r="B42" s="4" t="s">
        <v>1444</v>
      </c>
      <c r="C42" s="8" t="s">
        <v>5</v>
      </c>
      <c r="D42" s="11" t="s">
        <v>7363</v>
      </c>
    </row>
    <row r="43" spans="1:4" ht="30">
      <c r="A43" s="5" t="str">
        <f>HYPERLINK("https://www.oit.va.gov/Services/TRM/ToolPage.aspx?tid=11336^","ChartID")</f>
        <v>ChartID</v>
      </c>
      <c r="B43" s="4" t="s">
        <v>1444</v>
      </c>
      <c r="C43" s="8" t="s">
        <v>5</v>
      </c>
      <c r="D43" s="11" t="s">
        <v>7635</v>
      </c>
    </row>
    <row r="44" spans="1:4" ht="30">
      <c r="A44" s="5" t="str">
        <f>HYPERLINK("https://www.oit.va.gov/Services/TRM/ToolPage.aspx?tid=11238^","ChartScript Platform")</f>
        <v>ChartScript Platform</v>
      </c>
      <c r="B44" s="4" t="s">
        <v>1444</v>
      </c>
      <c r="C44" s="8" t="s">
        <v>5</v>
      </c>
      <c r="D44" s="11" t="s">
        <v>1447</v>
      </c>
    </row>
    <row r="45" spans="1:4" ht="30">
      <c r="A45" s="5" t="str">
        <f>HYPERLINK("https://www.oit.va.gov/Services/TRM/ToolPage.aspx?tid=7105^","Maryland Enhanced Ambulatory Patient Grouping System (EAPGS)")</f>
        <v>Maryland Enhanced Ambulatory Patient Grouping System (EAPGS)</v>
      </c>
      <c r="B45" s="4" t="s">
        <v>1444</v>
      </c>
      <c r="C45" s="8" t="s">
        <v>5</v>
      </c>
      <c r="D45" s="11" t="s">
        <v>3323</v>
      </c>
    </row>
    <row r="46" spans="1:4" ht="30">
      <c r="A46" s="5" t="str">
        <f>HYPERLINK("https://www.oit.va.gov/Services/TRM/ToolPage.aspx?tid=7106^","Maryland Payment with 3M APR DRGS Grouping and Reimbursement")</f>
        <v>Maryland Payment with 3M APR DRGS Grouping and Reimbursement</v>
      </c>
      <c r="B46" s="4" t="s">
        <v>1444</v>
      </c>
      <c r="C46" s="8" t="s">
        <v>5</v>
      </c>
      <c r="D46" s="11" t="s">
        <v>8220</v>
      </c>
    </row>
    <row r="47" spans="1:4" ht="30">
      <c r="A47" s="5" t="str">
        <f>HYPERLINK("https://www.oit.va.gov/Services/TRM/ToolPage.aspx?tid=7107^","Medicare End Stage Renal Disease (ESRD) Reimbursement")</f>
        <v>Medicare End Stage Renal Disease (ESRD) Reimbursement</v>
      </c>
      <c r="B47" s="4" t="s">
        <v>1444</v>
      </c>
      <c r="C47" s="8" t="s">
        <v>5</v>
      </c>
      <c r="D47" s="11" t="s">
        <v>8238</v>
      </c>
    </row>
    <row r="48" spans="1:4" ht="30">
      <c r="A48" s="5" t="str">
        <f>HYPERLINK("https://www.oit.va.gov/Services/TRM/ToolPage.aspx?tid=7108^","Medicare Hospital Outpatient Department (HOPD) Reimbursement")</f>
        <v>Medicare Hospital Outpatient Department (HOPD) Reimbursement</v>
      </c>
      <c r="B48" s="4" t="s">
        <v>1444</v>
      </c>
      <c r="C48" s="8" t="s">
        <v>5</v>
      </c>
      <c r="D48" s="11" t="s">
        <v>8239</v>
      </c>
    </row>
    <row r="49" spans="1:4" ht="30">
      <c r="A49" s="5" t="str">
        <f>HYPERLINK("https://www.oit.va.gov/Services/TRM/ToolPage.aspx?tid=7109^","Medicare Inpatient Psychiatric Facility Diagnosis Related Groups (IPF-DRG) Grouping and Reimbursement")</f>
        <v>Medicare Inpatient Psychiatric Facility Diagnosis Related Groups (IPF-DRG) Grouping and Reimbursement</v>
      </c>
      <c r="B49" s="4" t="s">
        <v>1444</v>
      </c>
      <c r="C49" s="8" t="s">
        <v>5</v>
      </c>
      <c r="D49" s="11" t="s">
        <v>8220</v>
      </c>
    </row>
    <row r="50" spans="1:4" ht="30">
      <c r="A50" s="5" t="str">
        <f>HYPERLINK("https://www.oit.va.gov/Services/TRM/ToolPage.aspx?tid=7110^","Medicare Long-Term Acute Care Hospitals (LTCH) Reimbursement")</f>
        <v>Medicare Long-Term Acute Care Hospitals (LTCH) Reimbursement</v>
      </c>
      <c r="B50" s="4" t="s">
        <v>1444</v>
      </c>
      <c r="C50" s="8" t="s">
        <v>5</v>
      </c>
      <c r="D50" s="11" t="s">
        <v>8240</v>
      </c>
    </row>
    <row r="51" spans="1:4" ht="30">
      <c r="A51" s="5" t="str">
        <f>HYPERLINK("https://www.oit.va.gov/Services/TRM/ToolPage.aspx?tid=14340^","3Shape Implant Studio")</f>
        <v>3Shape Implant Studio</v>
      </c>
      <c r="B51" s="4" t="s">
        <v>3689</v>
      </c>
      <c r="C51" s="8" t="s">
        <v>5</v>
      </c>
      <c r="D51" s="11" t="s">
        <v>3690</v>
      </c>
    </row>
    <row r="52" spans="1:4" ht="30">
      <c r="A52" s="5" t="str">
        <f>HYPERLINK("https://www.oit.va.gov/Services/TRM/ToolPage.aspx?tid=8995^","3Shape Dental System")</f>
        <v>3Shape Dental System</v>
      </c>
      <c r="B52" s="4" t="s">
        <v>3689</v>
      </c>
      <c r="C52" s="8" t="s">
        <v>5</v>
      </c>
      <c r="D52" s="11" t="s">
        <v>5607</v>
      </c>
    </row>
    <row r="53" spans="1:4" ht="30">
      <c r="A53" s="5" t="str">
        <f>HYPERLINK("https://www.oit.va.gov/Services/TRM/ToolPage.aspx?tid=9944^","Robo 3T")</f>
        <v>Robo 3T</v>
      </c>
      <c r="B53" s="4" t="s">
        <v>7087</v>
      </c>
      <c r="C53" s="8" t="s">
        <v>5</v>
      </c>
      <c r="D53" s="11" t="s">
        <v>7088</v>
      </c>
    </row>
    <row r="54" spans="1:4" ht="30">
      <c r="A54" s="5" t="str">
        <f>HYPERLINK("https://www.oit.va.gov/Services/TRM/ToolPage.aspx?tid=13727^","Angular Tree Component")</f>
        <v>Angular Tree Component</v>
      </c>
      <c r="B54" s="4" t="s">
        <v>7441</v>
      </c>
      <c r="C54" s="8" t="s">
        <v>5</v>
      </c>
      <c r="D54" s="11" t="s">
        <v>2386</v>
      </c>
    </row>
    <row r="55" spans="1:4" ht="30">
      <c r="A55" s="5" t="str">
        <f>HYPERLINK("https://www.oit.va.gov/Services/TRM/ToolPage.aspx?tid=13294^","Disk Drill for Mac")</f>
        <v>Disk Drill for Mac</v>
      </c>
      <c r="B55" s="4" t="s">
        <v>6523</v>
      </c>
      <c r="C55" s="8" t="s">
        <v>5</v>
      </c>
      <c r="D55" s="11" t="s">
        <v>6524</v>
      </c>
    </row>
    <row r="56" spans="1:4" ht="30">
      <c r="A56" s="5" t="str">
        <f>HYPERLINK("https://www.oit.va.gov/Services/TRM/ToolPage.aspx?tid=8002^","ASAP (As Soon As Possible) Utilities for Excel")</f>
        <v>ASAP (As Soon As Possible) Utilities for Excel</v>
      </c>
      <c r="B56" s="4" t="s">
        <v>5059</v>
      </c>
      <c r="C56" s="8" t="s">
        <v>5</v>
      </c>
      <c r="D56" s="11" t="s">
        <v>4484</v>
      </c>
    </row>
    <row r="57" spans="1:4" ht="30">
      <c r="A57" s="5" t="str">
        <f>HYPERLINK("https://www.oit.va.gov/Services/TRM/ToolPage.aspx?tid=8642^","Roter Interaction Analysis System (RIAS) Software")</f>
        <v>Roter Interaction Analysis System (RIAS) Software</v>
      </c>
      <c r="B57" s="4" t="s">
        <v>5059</v>
      </c>
      <c r="C57" s="8" t="s">
        <v>5</v>
      </c>
      <c r="D57" s="11" t="s">
        <v>3214</v>
      </c>
    </row>
    <row r="58" spans="1:4" ht="30">
      <c r="A58" s="5" t="str">
        <f>HYPERLINK("https://www.oit.va.gov/Services/TRM/ToolPage.aspx?tid=10370^","Doctor Pro 3")</f>
        <v>Doctor Pro 3</v>
      </c>
      <c r="B58" s="4" t="s">
        <v>7782</v>
      </c>
      <c r="C58" s="8" t="s">
        <v>5</v>
      </c>
      <c r="D58" s="11" t="s">
        <v>7783</v>
      </c>
    </row>
    <row r="59" spans="1:4" ht="30">
      <c r="A59" s="5" t="str">
        <f>HYPERLINK("https://www.oit.va.gov/Services/TRM/ToolPage.aspx?tid=13357^","Arc2Earth")</f>
        <v>Arc2Earth</v>
      </c>
      <c r="B59" s="4" t="s">
        <v>7472</v>
      </c>
      <c r="C59" s="8" t="s">
        <v>5</v>
      </c>
      <c r="D59" s="11" t="s">
        <v>6239</v>
      </c>
    </row>
    <row r="60" spans="1:4" ht="30">
      <c r="A60" s="5" t="str">
        <f>HYPERLINK("https://www.oit.va.gov/Services/TRM/ToolPage.aspx?tid=13888^","Classic Menu")</f>
        <v>Classic Menu</v>
      </c>
      <c r="B60" s="4" t="s">
        <v>7650</v>
      </c>
      <c r="C60" s="8" t="s">
        <v>5</v>
      </c>
      <c r="D60" s="11" t="s">
        <v>7651</v>
      </c>
    </row>
    <row r="61" spans="1:4" ht="30">
      <c r="A61" s="5" t="str">
        <f>HYPERLINK("https://www.oit.va.gov/Services/TRM/ToolPage.aspx?tid=15646^","PingID Desktop App")</f>
        <v>PingID Desktop App</v>
      </c>
      <c r="B61" s="4" t="s">
        <v>4603</v>
      </c>
      <c r="C61" s="8" t="s">
        <v>5</v>
      </c>
      <c r="D61" s="11" t="s">
        <v>4604</v>
      </c>
    </row>
    <row r="62" spans="1:4" ht="30">
      <c r="A62" s="5" t="str">
        <f>HYPERLINK("https://www.oit.va.gov/Services/TRM/ToolPage.aspx?tid=13873^","Electron Reader")</f>
        <v>Electron Reader</v>
      </c>
      <c r="B62" s="4" t="s">
        <v>4603</v>
      </c>
      <c r="C62" s="8" t="s">
        <v>5</v>
      </c>
      <c r="D62" s="11" t="s">
        <v>2506</v>
      </c>
    </row>
    <row r="63" spans="1:4" ht="30">
      <c r="A63" s="5" t="str">
        <f>HYPERLINK("https://www.oit.va.gov/Services/TRM/ToolPage.aspx?tid=7773^","PowerView")</f>
        <v>PowerView</v>
      </c>
      <c r="B63" s="4" t="s">
        <v>4603</v>
      </c>
      <c r="C63" s="8" t="s">
        <v>5</v>
      </c>
      <c r="D63" s="11" t="s">
        <v>1094</v>
      </c>
    </row>
    <row r="64" spans="1:4" ht="30">
      <c r="A64" s="5" t="str">
        <f>HYPERLINK("https://www.oit.va.gov/Services/TRM/ToolPage.aspx?tid=7568^","AbacusLaw")</f>
        <v>AbacusLaw</v>
      </c>
      <c r="B64" s="4" t="s">
        <v>2208</v>
      </c>
      <c r="C64" s="8" t="s">
        <v>5</v>
      </c>
      <c r="D64" s="11" t="s">
        <v>2209</v>
      </c>
    </row>
    <row r="65" spans="1:4" ht="30">
      <c r="A65" s="5" t="str">
        <f>HYPERLINK("https://www.oit.va.gov/Services/TRM/ToolPage.aspx?tid=14090^","HotDocs Player")</f>
        <v>HotDocs Player</v>
      </c>
      <c r="B65" s="4" t="s">
        <v>4231</v>
      </c>
      <c r="C65" s="8" t="s">
        <v>5</v>
      </c>
      <c r="D65" s="11" t="s">
        <v>3900</v>
      </c>
    </row>
    <row r="66" spans="1:4" ht="30">
      <c r="A66" s="5" t="str">
        <f>HYPERLINK("https://www.oit.va.gov/Services/TRM/ToolPage.aspx?tid=5926^","FreeStyle CoPilot Health Management System")</f>
        <v>FreeStyle CoPilot Health Management System</v>
      </c>
      <c r="B66" s="4" t="s">
        <v>1559</v>
      </c>
      <c r="C66" s="8" t="s">
        <v>5</v>
      </c>
      <c r="D66" s="11" t="s">
        <v>687</v>
      </c>
    </row>
    <row r="67" spans="1:4" ht="30">
      <c r="A67" s="5" t="str">
        <f>HYPERLINK("https://www.oit.va.gov/Services/TRM/ToolPage.aspx?tid=10185^","FreeStyle Auto-Assist")</f>
        <v>FreeStyle Auto-Assist</v>
      </c>
      <c r="B67" s="4" t="s">
        <v>1559</v>
      </c>
      <c r="C67" s="8" t="s">
        <v>5</v>
      </c>
      <c r="D67" s="11" t="s">
        <v>2613</v>
      </c>
    </row>
    <row r="68" spans="1:4" ht="30">
      <c r="A68" s="5" t="str">
        <f>HYPERLINK("https://www.oit.va.gov/Services/TRM/ToolPage.aspx?tid=6118^","Remote Automated Laboratory System (RALS) Remote Connect")</f>
        <v>Remote Automated Laboratory System (RALS) Remote Connect</v>
      </c>
      <c r="B68" s="4" t="s">
        <v>1559</v>
      </c>
      <c r="C68" s="8" t="s">
        <v>5</v>
      </c>
      <c r="D68" s="11" t="s">
        <v>2911</v>
      </c>
    </row>
    <row r="69" spans="1:4" ht="30">
      <c r="A69" s="5" t="str">
        <f>HYPERLINK("https://www.oit.va.gov/Services/TRM/ToolPage.aspx?tid=11195^","i-STAT Data Exchange (DE)")</f>
        <v>i-STAT Data Exchange (DE)</v>
      </c>
      <c r="B69" s="4" t="s">
        <v>1559</v>
      </c>
      <c r="C69" s="8" t="s">
        <v>5</v>
      </c>
      <c r="D69" s="11" t="s">
        <v>1034</v>
      </c>
    </row>
    <row r="70" spans="1:4" ht="30">
      <c r="A70" s="5" t="str">
        <f>HYPERLINK("https://www.oit.va.gov/Services/TRM/ToolPage.aspx?tid=14987^","AlinIQ Integrated Platform")</f>
        <v>AlinIQ Integrated Platform</v>
      </c>
      <c r="B70" s="4" t="s">
        <v>1559</v>
      </c>
      <c r="C70" s="8" t="s">
        <v>5</v>
      </c>
      <c r="D70" s="11" t="s">
        <v>3725</v>
      </c>
    </row>
    <row r="71" spans="1:4" ht="30">
      <c r="A71" s="5" t="str">
        <f>HYPERLINK("https://www.oit.va.gov/Services/TRM/ToolPage.aspx?tid=9779^","Info HQ")</f>
        <v>Info HQ</v>
      </c>
      <c r="B71" s="4" t="s">
        <v>1559</v>
      </c>
      <c r="C71" s="8" t="s">
        <v>5</v>
      </c>
      <c r="D71" s="11" t="s">
        <v>1590</v>
      </c>
    </row>
    <row r="72" spans="1:4" ht="30">
      <c r="A72" s="5" t="str">
        <f>HYPERLINK("https://www.oit.va.gov/Services/TRM/ToolPage.aspx?tid=16826^","AlinIQ Analyzer Management System (AMS)")</f>
        <v>AlinIQ Analyzer Management System (AMS)</v>
      </c>
      <c r="B72" s="4" t="s">
        <v>1559</v>
      </c>
      <c r="C72" s="8" t="s">
        <v>5</v>
      </c>
      <c r="D72" s="11" t="s">
        <v>1956</v>
      </c>
    </row>
    <row r="73" spans="1:4" ht="30">
      <c r="A73" s="5" t="str">
        <f>HYPERLINK("https://www.oit.va.gov/Services/TRM/ToolPage.aspx?tid=10962^","AlinIQ Inventory Manager Software (IMS)")</f>
        <v>AlinIQ Inventory Manager Software (IMS)</v>
      </c>
      <c r="B73" s="4" t="s">
        <v>1559</v>
      </c>
      <c r="C73" s="8" t="s">
        <v>5</v>
      </c>
      <c r="D73" s="11" t="s">
        <v>571</v>
      </c>
    </row>
    <row r="74" spans="1:4" ht="30">
      <c r="A74" s="5" t="str">
        <f>HYPERLINK("https://www.oit.va.gov/Services/TRM/ToolPage.aspx?tid=14289^","CoagClinic")</f>
        <v>CoagClinic</v>
      </c>
      <c r="B74" s="4" t="s">
        <v>1559</v>
      </c>
      <c r="C74" s="8" t="s">
        <v>5</v>
      </c>
      <c r="D74" s="11" t="s">
        <v>1176</v>
      </c>
    </row>
    <row r="75" spans="1:4" ht="30">
      <c r="A75" s="5" t="str">
        <f>HYPERLINK("https://www.oit.va.gov/Services/TRM/ToolPage.aspx?tid=14678^","St Jude`s Workmate Unity Review Module")</f>
        <v>St Jude`s Workmate Unity Review Module</v>
      </c>
      <c r="B75" s="4" t="s">
        <v>1559</v>
      </c>
      <c r="C75" s="8" t="s">
        <v>5</v>
      </c>
      <c r="D75" s="11" t="s">
        <v>8719</v>
      </c>
    </row>
    <row r="76" spans="1:4" ht="30">
      <c r="A76" s="5" t="str">
        <f>HYPERLINK("https://www.oit.va.gov/Services/TRM/ToolPage.aspx?tid=8223^","ViroSeq Human Immunodeficiency Virus (HIV)-1 Genotyping System")</f>
        <v>ViroSeq Human Immunodeficiency Virus (HIV)-1 Genotyping System</v>
      </c>
      <c r="B76" s="4" t="s">
        <v>1559</v>
      </c>
      <c r="C76" s="8" t="s">
        <v>5</v>
      </c>
      <c r="D76" s="11" t="s">
        <v>2555</v>
      </c>
    </row>
    <row r="77" spans="1:4" ht="30">
      <c r="A77" s="5" t="str">
        <f>HYPERLINK("https://www.oit.va.gov/Services/TRM/ToolPage.aspx?tid=11714^","FreeStyle Libre")</f>
        <v>FreeStyle Libre</v>
      </c>
      <c r="B77" s="4" t="s">
        <v>2614</v>
      </c>
      <c r="C77" s="8" t="s">
        <v>5</v>
      </c>
      <c r="D77" s="11" t="s">
        <v>2615</v>
      </c>
    </row>
    <row r="78" spans="1:4" ht="30">
      <c r="A78" s="5" t="str">
        <f>HYPERLINK("https://www.oit.va.gov/Services/TRM/ToolPage.aspx?tid=9252^","Data Repeater")</f>
        <v>Data Repeater</v>
      </c>
      <c r="B78" s="4" t="s">
        <v>2614</v>
      </c>
      <c r="C78" s="8" t="s">
        <v>5</v>
      </c>
      <c r="D78" s="11" t="s">
        <v>412</v>
      </c>
    </row>
    <row r="79" spans="1:4" ht="30">
      <c r="A79" s="5" t="str">
        <f>HYPERLINK("https://www.oit.va.gov/Services/TRM/ToolPage.aspx?tid=6108^","Precision Link Direct Diabetes Management System")</f>
        <v>Precision Link Direct Diabetes Management System</v>
      </c>
      <c r="B79" s="4" t="s">
        <v>2614</v>
      </c>
      <c r="C79" s="8" t="s">
        <v>5</v>
      </c>
      <c r="D79" s="11" t="s">
        <v>8473</v>
      </c>
    </row>
    <row r="80" spans="1:4" ht="30">
      <c r="A80" s="5" t="str">
        <f>HYPERLINK("https://www.oit.va.gov/Services/TRM/ToolPage.aspx?tid=7502^","STARLIMS")</f>
        <v>STARLIMS</v>
      </c>
      <c r="B80" s="4" t="s">
        <v>6085</v>
      </c>
      <c r="C80" s="8" t="s">
        <v>5</v>
      </c>
      <c r="D80" s="11" t="s">
        <v>6086</v>
      </c>
    </row>
    <row r="81" spans="1:4" ht="30">
      <c r="A81" s="5" t="str">
        <f>HYPERLINK("https://www.oit.va.gov/Services/TRM/ToolPage.aspx?tid=5528^","ABBYY FineReader")</f>
        <v>ABBYY FineReader</v>
      </c>
      <c r="B81" s="4" t="s">
        <v>1258</v>
      </c>
      <c r="C81" s="8" t="s">
        <v>5</v>
      </c>
      <c r="D81" s="11" t="s">
        <v>1259</v>
      </c>
    </row>
    <row r="82" spans="1:4" ht="30">
      <c r="A82" s="5" t="str">
        <f>HYPERLINK("https://www.oit.va.gov/Services/TRM/ToolPage.aspx?tid=16790^","ABBYY FineReader Engine")</f>
        <v>ABBYY FineReader Engine</v>
      </c>
      <c r="B82" s="4" t="s">
        <v>1258</v>
      </c>
      <c r="C82" s="8" t="s">
        <v>5</v>
      </c>
      <c r="D82" s="11" t="s">
        <v>1558</v>
      </c>
    </row>
    <row r="83" spans="1:4" ht="30">
      <c r="A83" s="5" t="str">
        <f>HYPERLINK("https://www.oit.va.gov/Services/TRM/ToolPage.aspx?tid=10958^","Abbyy Flexicapture")</f>
        <v>Abbyy Flexicapture</v>
      </c>
      <c r="B83" s="4" t="s">
        <v>1258</v>
      </c>
      <c r="C83" s="8" t="s">
        <v>5</v>
      </c>
      <c r="D83" s="11" t="s">
        <v>3133</v>
      </c>
    </row>
    <row r="84" spans="1:4" ht="30">
      <c r="A84" s="5" t="str">
        <f>HYPERLINK("https://www.oit.va.gov/Services/TRM/ToolPage.aspx?tid=11305^","ABBYY PDF Transformer")</f>
        <v>ABBYY PDF Transformer</v>
      </c>
      <c r="B84" s="4" t="s">
        <v>1258</v>
      </c>
      <c r="C84" s="8" t="s">
        <v>5</v>
      </c>
      <c r="D84" s="11" t="s">
        <v>7366</v>
      </c>
    </row>
    <row r="85" spans="1:4" ht="30">
      <c r="A85" s="5" t="str">
        <f>HYPERLINK("https://www.oit.va.gov/Services/TRM/ToolPage.aspx?tid=13434^","Word Reader")</f>
        <v>Word Reader</v>
      </c>
      <c r="B85" s="4" t="s">
        <v>3642</v>
      </c>
      <c r="C85" s="8" t="s">
        <v>5</v>
      </c>
      <c r="D85" s="11" t="s">
        <v>3643</v>
      </c>
    </row>
    <row r="86" spans="1:4" ht="30">
      <c r="A86" s="5" t="str">
        <f>HYPERLINK("https://www.oit.va.gov/Services/TRM/ToolPage.aspx?tid=12857^","OpenDyslexic")</f>
        <v>OpenDyslexic</v>
      </c>
      <c r="B86" s="4" t="s">
        <v>8367</v>
      </c>
      <c r="C86" s="8" t="s">
        <v>5</v>
      </c>
      <c r="D86" s="11" t="s">
        <v>1189</v>
      </c>
    </row>
    <row r="87" spans="1:4" ht="30">
      <c r="A87" s="5" t="str">
        <f>HYPERLINK("https://www.oit.va.gov/Services/TRM/ToolPage.aspx?tid=13306^","Ultimate Suite for Excel")</f>
        <v>Ultimate Suite for Excel</v>
      </c>
      <c r="B87" s="4" t="s">
        <v>4940</v>
      </c>
      <c r="C87" s="8" t="s">
        <v>5</v>
      </c>
      <c r="D87" s="11" t="s">
        <v>4941</v>
      </c>
    </row>
    <row r="88" spans="1:4" ht="30">
      <c r="A88" s="5" t="str">
        <f>HYPERLINK("https://www.oit.va.gov/Services/TRM/ToolPage.aspx?tid=13809^","Ableton Live")</f>
        <v>Ableton Live</v>
      </c>
      <c r="B88" s="4" t="s">
        <v>6224</v>
      </c>
      <c r="C88" s="8" t="s">
        <v>5</v>
      </c>
      <c r="D88" s="11" t="s">
        <v>6225</v>
      </c>
    </row>
    <row r="89" spans="1:4" ht="30">
      <c r="A89" s="5" t="str">
        <f>HYPERLINK("https://www.oit.va.gov/Services/TRM/ToolPage.aspx?tid=14037^","Speed Test")</f>
        <v>Speed Test</v>
      </c>
      <c r="B89" s="4" t="s">
        <v>8705</v>
      </c>
      <c r="C89" s="8" t="s">
        <v>5</v>
      </c>
      <c r="D89" s="11" t="s">
        <v>8706</v>
      </c>
    </row>
    <row r="90" spans="1:4" ht="30">
      <c r="A90" s="5" t="str">
        <f>HYPERLINK("https://www.oit.va.gov/Services/TRM/ToolPage.aspx?tid=5921^","Absolute Platform")</f>
        <v>Absolute Platform</v>
      </c>
      <c r="B90" s="4" t="s">
        <v>2343</v>
      </c>
      <c r="C90" s="8" t="s">
        <v>5</v>
      </c>
      <c r="D90" s="11" t="s">
        <v>2344</v>
      </c>
    </row>
    <row r="91" spans="1:4" ht="30">
      <c r="A91" s="5" t="str">
        <f>HYPERLINK("https://www.oit.va.gov/Services/TRM/ToolPage.aspx?tid=13639^","ScriptCryptor")</f>
        <v>ScriptCryptor</v>
      </c>
      <c r="B91" s="4" t="s">
        <v>8601</v>
      </c>
      <c r="C91" s="8" t="s">
        <v>5</v>
      </c>
      <c r="D91" s="11" t="s">
        <v>4763</v>
      </c>
    </row>
    <row r="92" spans="1:4" ht="30">
      <c r="A92" s="5" t="str">
        <f>HYPERLINK("https://www.oit.va.gov/Services/TRM/ToolPage.aspx?tid=13504^","Wave Editor")</f>
        <v>Wave Editor</v>
      </c>
      <c r="B92" s="4" t="s">
        <v>8601</v>
      </c>
      <c r="C92" s="8" t="s">
        <v>5</v>
      </c>
      <c r="D92" s="11" t="s">
        <v>8905</v>
      </c>
    </row>
    <row r="93" spans="1:4" ht="30">
      <c r="A93" s="5" t="str">
        <f>HYPERLINK("https://www.oit.va.gov/Services/TRM/ToolPage.aspx?tid=14571^","MOV Recorder Application")</f>
        <v>MOV Recorder Application</v>
      </c>
      <c r="B93" s="4" t="s">
        <v>6892</v>
      </c>
      <c r="C93" s="8" t="s">
        <v>5</v>
      </c>
      <c r="D93" s="11" t="s">
        <v>4462</v>
      </c>
    </row>
    <row r="94" spans="1:4" ht="30">
      <c r="A94" s="5" t="str">
        <f>HYPERLINK("https://www.oit.va.gov/Services/TRM/ToolPage.aspx?tid=11135^","Radia Client Automation")</f>
        <v>Radia Client Automation</v>
      </c>
      <c r="B94" s="4" t="s">
        <v>8526</v>
      </c>
      <c r="C94" s="8" t="s">
        <v>5</v>
      </c>
      <c r="D94" s="11" t="s">
        <v>8527</v>
      </c>
    </row>
    <row r="95" spans="1:4" ht="30">
      <c r="A95" s="5" t="str">
        <f>HYPERLINK("https://www.oit.va.gov/Services/TRM/ToolPage.aspx?tid=6929^","ThinkTank")</f>
        <v>ThinkTank</v>
      </c>
      <c r="B95" s="4" t="s">
        <v>8803</v>
      </c>
      <c r="C95" s="8" t="s">
        <v>5</v>
      </c>
      <c r="D95" s="11" t="s">
        <v>919</v>
      </c>
    </row>
    <row r="96" spans="1:4" ht="30">
      <c r="A96" s="5" t="str">
        <f>HYPERLINK("https://www.oit.va.gov/Services/TRM/ToolPage.aspx?tid=10056^","Acceo Tender Retail")</f>
        <v>Acceo Tender Retail</v>
      </c>
      <c r="B96" s="4" t="s">
        <v>912</v>
      </c>
      <c r="C96" s="8" t="s">
        <v>5</v>
      </c>
      <c r="D96" s="11" t="s">
        <v>913</v>
      </c>
    </row>
    <row r="97" spans="1:4" ht="30">
      <c r="A97" s="5" t="str">
        <f>HYPERLINK("https://www.oit.va.gov/Services/TRM/ToolPage.aspx?tid=11303^","Acceo Tender Retail Manager")</f>
        <v>Acceo Tender Retail Manager</v>
      </c>
      <c r="B97" s="4" t="s">
        <v>912</v>
      </c>
      <c r="C97" s="8" t="s">
        <v>5</v>
      </c>
      <c r="D97" s="11" t="s">
        <v>190</v>
      </c>
    </row>
    <row r="98" spans="1:4" ht="30">
      <c r="A98" s="5" t="str">
        <f>HYPERLINK("https://www.oit.va.gov/Services/TRM/ToolPage.aspx?tid=10594^","TSSadmin Express")</f>
        <v>TSSadmin Express</v>
      </c>
      <c r="B98" s="4" t="s">
        <v>6120</v>
      </c>
      <c r="C98" s="8" t="s">
        <v>5</v>
      </c>
      <c r="D98" s="11" t="s">
        <v>6121</v>
      </c>
    </row>
    <row r="99" spans="1:4" ht="30">
      <c r="A99" s="5" t="str">
        <f>HYPERLINK("https://www.oit.va.gov/Services/TRM/ToolPage.aspx?tid=7299^","Event Management Systems (EMS) Enterprise")</f>
        <v>Event Management Systems (EMS) Enterprise</v>
      </c>
      <c r="B99" s="4" t="s">
        <v>2562</v>
      </c>
      <c r="C99" s="8" t="s">
        <v>5</v>
      </c>
      <c r="D99" s="11" t="s">
        <v>2563</v>
      </c>
    </row>
    <row r="100" spans="1:4" ht="30">
      <c r="A100" s="5" t="str">
        <f>HYPERLINK("https://www.oit.va.gov/Services/TRM/ToolPage.aspx?tid=7221^","Enterprise Asset Management")</f>
        <v>Enterprise Asset Management</v>
      </c>
      <c r="B100" s="4" t="s">
        <v>2562</v>
      </c>
      <c r="C100" s="8" t="s">
        <v>5</v>
      </c>
      <c r="D100" s="11" t="s">
        <v>3108</v>
      </c>
    </row>
    <row r="101" spans="1:4" ht="30">
      <c r="A101" s="5" t="str">
        <f>HYPERLINK("https://www.oit.va.gov/Services/TRM/ToolPage.aspx?tid=15677^","Portable Data Logger")</f>
        <v>Portable Data Logger</v>
      </c>
      <c r="B101" s="4" t="s">
        <v>4618</v>
      </c>
      <c r="C101" s="8" t="s">
        <v>5</v>
      </c>
      <c r="D101" s="11" t="s">
        <v>4619</v>
      </c>
    </row>
    <row r="102" spans="1:4" ht="30">
      <c r="A102" s="5" t="str">
        <f>HYPERLINK("https://www.oit.va.gov/Services/TRM/ToolPage.aspx?tid=5865^","Accu-Care")</f>
        <v>Accu-Care</v>
      </c>
      <c r="B102" s="4" t="s">
        <v>7378</v>
      </c>
      <c r="C102" s="8" t="s">
        <v>5</v>
      </c>
      <c r="D102" s="11" t="s">
        <v>7379</v>
      </c>
    </row>
    <row r="103" spans="1:4" ht="30">
      <c r="A103" s="5" t="str">
        <f>HYPERLINK("https://www.oit.va.gov/Services/TRM/ToolPage.aspx?tid=13525^","AccuProcess Modeler")</f>
        <v>AccuProcess Modeler</v>
      </c>
      <c r="B103" s="4" t="s">
        <v>7381</v>
      </c>
      <c r="C103" s="8" t="s">
        <v>5</v>
      </c>
      <c r="D103" s="11" t="s">
        <v>7382</v>
      </c>
    </row>
    <row r="104" spans="1:4" ht="30">
      <c r="A104" s="5" t="str">
        <f>HYPERLINK("https://www.oit.va.gov/Services/TRM/ToolPage.aspx?tid=14844^","CaptaVision+")</f>
        <v>CaptaVision+</v>
      </c>
      <c r="B104" s="4" t="s">
        <v>7612</v>
      </c>
      <c r="C104" s="8" t="s">
        <v>5</v>
      </c>
      <c r="D104" s="11" t="s">
        <v>3919</v>
      </c>
    </row>
    <row r="105" spans="1:4" ht="30">
      <c r="A105" s="5" t="str">
        <f>HYPERLINK("https://www.oit.va.gov/Services/TRM/ToolPage.aspx?tid=7991^","FormSuite for Structured Forms")</f>
        <v>FormSuite for Structured Forms</v>
      </c>
      <c r="B105" s="4" t="s">
        <v>214</v>
      </c>
      <c r="C105" s="8" t="s">
        <v>5</v>
      </c>
      <c r="D105" s="11" t="s">
        <v>215</v>
      </c>
    </row>
    <row r="106" spans="1:4" ht="30">
      <c r="A106" s="5" t="str">
        <f>HYPERLINK("https://www.oit.va.gov/Services/TRM/ToolPage.aspx?tid=5131^","ImageGear Software Development Kit (SDK)")</f>
        <v>ImageGear Software Development Kit (SDK)</v>
      </c>
      <c r="B106" s="4" t="s">
        <v>214</v>
      </c>
      <c r="C106" s="8" t="s">
        <v>5</v>
      </c>
      <c r="D106" s="11" t="s">
        <v>2660</v>
      </c>
    </row>
    <row r="107" spans="1:4" ht="30">
      <c r="A107" s="5" t="str">
        <f>HYPERLINK("https://www.oit.va.gov/Services/TRM/ToolPage.aspx?tid=15827^","PrizmDoc Viewer")</f>
        <v>PrizmDoc Viewer</v>
      </c>
      <c r="B107" s="4" t="s">
        <v>214</v>
      </c>
      <c r="C107" s="8" t="s">
        <v>5</v>
      </c>
      <c r="D107" s="11" t="s">
        <v>4654</v>
      </c>
    </row>
    <row r="108" spans="1:4" ht="30">
      <c r="A108" s="5" t="str">
        <f>HYPERLINK("https://www.oit.va.gov/Services/TRM/ToolPage.aspx?tid=13582^","ImagXpress")</f>
        <v>ImagXpress</v>
      </c>
      <c r="B108" s="4" t="s">
        <v>214</v>
      </c>
      <c r="C108" s="8" t="s">
        <v>5</v>
      </c>
      <c r="D108" s="11" t="s">
        <v>3335</v>
      </c>
    </row>
    <row r="109" spans="1:4" ht="30">
      <c r="A109" s="5" t="str">
        <f>HYPERLINK("https://www.oit.va.gov/Services/TRM/ToolPage.aspx?tid=16712^","PICVideo")</f>
        <v>PICVideo</v>
      </c>
      <c r="B109" s="4" t="s">
        <v>214</v>
      </c>
      <c r="C109" s="8" t="s">
        <v>5</v>
      </c>
      <c r="D109" s="11" t="s">
        <v>8433</v>
      </c>
    </row>
    <row r="110" spans="1:4" ht="30">
      <c r="A110" s="5" t="str">
        <f>HYPERLINK("https://www.oit.va.gov/Services/TRM/ToolPage.aspx?tid=13066^","ACDSee")</f>
        <v>ACDSee</v>
      </c>
      <c r="B110" s="4" t="s">
        <v>3134</v>
      </c>
      <c r="C110" s="8" t="s">
        <v>5</v>
      </c>
      <c r="D110" s="11" t="s">
        <v>3135</v>
      </c>
    </row>
    <row r="111" spans="1:4" ht="30">
      <c r="A111" s="5" t="str">
        <f>HYPERLINK("https://www.oit.va.gov/Services/TRM/ToolPage.aspx?tid=11709^","Claims Administration and Management System (eCAMS) RuleIT")</f>
        <v>Claims Administration and Management System (eCAMS) RuleIT</v>
      </c>
      <c r="B111" s="4" t="s">
        <v>2456</v>
      </c>
      <c r="C111" s="8" t="s">
        <v>5</v>
      </c>
      <c r="D111" s="11" t="s">
        <v>2457</v>
      </c>
    </row>
    <row r="112" spans="1:4" ht="30">
      <c r="A112" s="5" t="str">
        <f>HYPERLINK("https://www.oit.va.gov/Services/TRM/ToolPage.aspx?tid=11711^","Claims Administration and Management System (eCAMS) Health Care Engine (HCE)")</f>
        <v>Claims Administration and Management System (eCAMS) Health Care Engine (HCE)</v>
      </c>
      <c r="B112" s="4" t="s">
        <v>2456</v>
      </c>
      <c r="C112" s="8" t="s">
        <v>5</v>
      </c>
      <c r="D112" s="11" t="s">
        <v>5706</v>
      </c>
    </row>
    <row r="113" spans="1:4" ht="30">
      <c r="A113" s="5" t="str">
        <f>HYPERLINK("https://www.oit.va.gov/Services/TRM/ToolPage.aspx?tid=13417^","Tracks Eraser Pro")</f>
        <v>Tracks Eraser Pro</v>
      </c>
      <c r="B113" s="4" t="s">
        <v>8826</v>
      </c>
      <c r="C113" s="8" t="s">
        <v>5</v>
      </c>
      <c r="D113" s="11" t="s">
        <v>8827</v>
      </c>
    </row>
    <row r="114" spans="1:4" ht="30">
      <c r="A114" s="5" t="str">
        <f>HYPERLINK("https://www.oit.va.gov/Services/TRM/ToolPage.aspx?tid=11599^","Q-Flow")</f>
        <v>Q-Flow</v>
      </c>
      <c r="B114" s="4" t="s">
        <v>2892</v>
      </c>
      <c r="C114" s="8" t="s">
        <v>5</v>
      </c>
      <c r="D114" s="11" t="s">
        <v>2893</v>
      </c>
    </row>
    <row r="115" spans="1:4" ht="30">
      <c r="A115" s="5" t="str">
        <f>HYPERLINK("https://www.oit.va.gov/Services/TRM/ToolPage.aspx?tid=6681^","Audit Command Language (ACL) Analytics")</f>
        <v>Audit Command Language (ACL) Analytics</v>
      </c>
      <c r="B115" s="4" t="s">
        <v>927</v>
      </c>
      <c r="C115" s="8" t="s">
        <v>5</v>
      </c>
      <c r="D115" s="11" t="s">
        <v>928</v>
      </c>
    </row>
    <row r="116" spans="1:4" ht="30">
      <c r="A116" s="5" t="str">
        <f>HYPERLINK("https://www.oit.va.gov/Services/TRM/ToolPage.aspx?tid=14064^","Soulver")</f>
        <v>Soulver</v>
      </c>
      <c r="B116" s="4" t="s">
        <v>8696</v>
      </c>
      <c r="C116" s="8" t="s">
        <v>5</v>
      </c>
      <c r="D116" s="11" t="s">
        <v>7253</v>
      </c>
    </row>
    <row r="117" spans="1:4" ht="30">
      <c r="A117" s="5" t="str">
        <f>HYPERLINK("https://www.oit.va.gov/Services/TRM/ToolPage.aspx?tid=7663^","Acqueon iAssist for Cisco Unified Customer Voice Portal (CVP)")</f>
        <v>Acqueon iAssist for Cisco Unified Customer Voice Portal (CVP)</v>
      </c>
      <c r="B117" s="4" t="s">
        <v>1271</v>
      </c>
      <c r="C117" s="8" t="s">
        <v>5</v>
      </c>
      <c r="D117" s="11" t="s">
        <v>1272</v>
      </c>
    </row>
    <row r="118" spans="1:4" ht="30">
      <c r="A118" s="5" t="str">
        <f>HYPERLINK("https://www.oit.va.gov/Services/TRM/ToolPage.aspx?tid=7661^","Acqueon List and Campaign Manager (LCM)")</f>
        <v>Acqueon List and Campaign Manager (LCM)</v>
      </c>
      <c r="B118" s="4" t="s">
        <v>1271</v>
      </c>
      <c r="C118" s="8" t="s">
        <v>5</v>
      </c>
      <c r="D118" s="11" t="s">
        <v>511</v>
      </c>
    </row>
    <row r="119" spans="1:4" ht="30">
      <c r="A119" s="5" t="str">
        <f>HYPERLINK("https://www.oit.va.gov/Services/TRM/ToolPage.aspx?tid=15035^","Custom Portable Document Format (PDF) Writer")</f>
        <v>Custom Portable Document Format (PDF) Writer</v>
      </c>
      <c r="B119" s="4" t="s">
        <v>3988</v>
      </c>
      <c r="C119" s="8" t="s">
        <v>5</v>
      </c>
      <c r="D119" s="11" t="s">
        <v>3989</v>
      </c>
    </row>
    <row r="120" spans="1:4" ht="30">
      <c r="A120" s="5" t="str">
        <f>HYPERLINK("https://www.oit.va.gov/Services/TRM/ToolPage.aspx?tid=5599^","Cute Portable Document Format (PDF) Writer")</f>
        <v>Cute Portable Document Format (PDF) Writer</v>
      </c>
      <c r="B120" s="4" t="s">
        <v>3988</v>
      </c>
      <c r="C120" s="8" t="s">
        <v>5</v>
      </c>
      <c r="D120" s="11" t="s">
        <v>5126</v>
      </c>
    </row>
    <row r="121" spans="1:4" ht="30">
      <c r="A121" s="5" t="str">
        <f>HYPERLINK("https://www.oit.va.gov/Services/TRM/ToolPage.aspx?tid=13458^","CutePDF Professional")</f>
        <v>CutePDF Professional</v>
      </c>
      <c r="B121" s="4" t="s">
        <v>3988</v>
      </c>
      <c r="C121" s="8" t="s">
        <v>5</v>
      </c>
      <c r="D121" s="11" t="s">
        <v>7646</v>
      </c>
    </row>
    <row r="122" spans="1:4" ht="30">
      <c r="A122" s="5" t="str">
        <f>HYPERLINK("https://www.oit.va.gov/Services/TRM/ToolPage.aspx?tid=13549^","ACAD Drawing (DWG) to Portable Document Format (PDF) Converter")</f>
        <v>ACAD Drawing (DWG) to Portable Document Format (PDF) Converter</v>
      </c>
      <c r="B122" s="4" t="s">
        <v>7372</v>
      </c>
      <c r="C122" s="8" t="s">
        <v>5</v>
      </c>
      <c r="D122" s="11" t="s">
        <v>7371</v>
      </c>
    </row>
    <row r="123" spans="1:4" ht="30">
      <c r="A123" s="5" t="str">
        <f>HYPERLINK("https://www.oit.va.gov/Services/TRM/ToolPage.aspx?tid=6661^","Acronis Cyber Backup")</f>
        <v>Acronis Cyber Backup</v>
      </c>
      <c r="B123" s="4" t="s">
        <v>546</v>
      </c>
      <c r="C123" s="8" t="s">
        <v>5</v>
      </c>
      <c r="D123" s="11" t="s">
        <v>547</v>
      </c>
    </row>
    <row r="124" spans="1:4" ht="30">
      <c r="A124" s="5" t="str">
        <f>HYPERLINK("https://www.oit.va.gov/Services/TRM/ToolPage.aspx?tid=16352^","Acronis Snap Deploy 6")</f>
        <v>Acronis Snap Deploy 6</v>
      </c>
      <c r="B124" s="4" t="s">
        <v>546</v>
      </c>
      <c r="C124" s="8" t="s">
        <v>5</v>
      </c>
      <c r="D124" s="11" t="s">
        <v>1273</v>
      </c>
    </row>
    <row r="125" spans="1:4" ht="30">
      <c r="A125" s="5" t="str">
        <f>HYPERLINK("https://www.oit.va.gov/Services/TRM/ToolPage.aspx?tid=13191^","Acronis Cyber Protect Home Office")</f>
        <v>Acronis Cyber Protect Home Office</v>
      </c>
      <c r="B125" s="4" t="s">
        <v>546</v>
      </c>
      <c r="C125" s="8" t="s">
        <v>5</v>
      </c>
      <c r="D125" s="11" t="s">
        <v>368</v>
      </c>
    </row>
    <row r="126" spans="1:4" ht="30">
      <c r="A126" s="5" t="str">
        <f>HYPERLINK("https://www.oit.va.gov/Services/TRM/ToolPage.aspx?tid=13474^","Acronis License Server (ALS) [Standalone Edition]")</f>
        <v>Acronis License Server (ALS) [Standalone Edition]</v>
      </c>
      <c r="B126" s="4" t="s">
        <v>546</v>
      </c>
      <c r="C126" s="8" t="s">
        <v>5</v>
      </c>
      <c r="D126" s="11" t="s">
        <v>2356</v>
      </c>
    </row>
    <row r="127" spans="1:4" ht="30">
      <c r="A127" s="5" t="str">
        <f>HYPERLINK("https://www.oit.va.gov/Services/TRM/ToolPage.aspx?tid=13624^","Disk Director Server")</f>
        <v>Disk Director Server</v>
      </c>
      <c r="B127" s="4" t="s">
        <v>546</v>
      </c>
      <c r="C127" s="8" t="s">
        <v>5</v>
      </c>
      <c r="D127" s="11" t="s">
        <v>7776</v>
      </c>
    </row>
    <row r="128" spans="1:4" ht="30">
      <c r="A128" s="5" t="str">
        <f>HYPERLINK("https://www.oit.va.gov/Services/TRM/ToolPage.aspx?tid=13630^","timeQPlus")</f>
        <v>timeQPlus</v>
      </c>
      <c r="B128" s="4" t="s">
        <v>8809</v>
      </c>
      <c r="C128" s="8" t="s">
        <v>5</v>
      </c>
      <c r="D128" s="11" t="s">
        <v>7598</v>
      </c>
    </row>
    <row r="129" spans="1:4" ht="30">
      <c r="A129" s="5" t="str">
        <f>HYPERLINK("https://www.oit.va.gov/Services/TRM/ToolPage.aspx?tid=13632^","SqlDbx")</f>
        <v>SqlDbx</v>
      </c>
      <c r="B129" s="4" t="s">
        <v>8717</v>
      </c>
      <c r="C129" s="8" t="s">
        <v>5</v>
      </c>
      <c r="D129" s="11" t="s">
        <v>3551</v>
      </c>
    </row>
    <row r="130" spans="1:4" ht="30">
      <c r="A130" s="5" t="str">
        <f>HYPERLINK("https://www.oit.va.gov/Services/TRM/ToolPage.aspx?tid=13547^","Acteon Imaging Suite")</f>
        <v>Acteon Imaging Suite</v>
      </c>
      <c r="B130" s="4" t="s">
        <v>3699</v>
      </c>
      <c r="C130" s="8" t="s">
        <v>5</v>
      </c>
      <c r="D130" s="11" t="s">
        <v>2665</v>
      </c>
    </row>
    <row r="131" spans="1:4" ht="30">
      <c r="A131" s="5" t="str">
        <f>HYPERLINK("https://www.oit.va.gov/Services/TRM/ToolPage.aspx?tid=10197^","Open Rapid Object Application Development (OpenROAD)")</f>
        <v>Open Rapid Object Application Development (OpenROAD)</v>
      </c>
      <c r="B131" s="4" t="s">
        <v>791</v>
      </c>
      <c r="C131" s="8" t="s">
        <v>5</v>
      </c>
      <c r="D131" s="11" t="s">
        <v>792</v>
      </c>
    </row>
    <row r="132" spans="1:4" ht="30">
      <c r="A132" s="5" t="str">
        <f>HYPERLINK("https://www.oit.va.gov/Services/TRM/ToolPage.aspx?tid=9044^","Actian Zen Embedded Database")</f>
        <v>Actian Zen Embedded Database</v>
      </c>
      <c r="B132" s="4" t="s">
        <v>791</v>
      </c>
      <c r="C132" s="8" t="s">
        <v>5</v>
      </c>
      <c r="D132" s="11" t="s">
        <v>5028</v>
      </c>
    </row>
    <row r="133" spans="1:4" ht="30">
      <c r="A133" s="5" t="str">
        <f>HYPERLINK("https://www.oit.va.gov/Services/TRM/ToolPage.aspx?tid=10045^","Ingres Database")</f>
        <v>Ingres Database</v>
      </c>
      <c r="B133" s="4" t="s">
        <v>791</v>
      </c>
      <c r="C133" s="8" t="s">
        <v>5</v>
      </c>
      <c r="D133" s="11" t="s">
        <v>5249</v>
      </c>
    </row>
    <row r="134" spans="1:4" ht="30">
      <c r="A134" s="5" t="str">
        <f>HYPERLINK("https://www.oit.va.gov/Services/TRM/ToolPage.aspx?tid=10068^","Enterprise Access")</f>
        <v>Enterprise Access</v>
      </c>
      <c r="B134" s="4" t="s">
        <v>791</v>
      </c>
      <c r="C134" s="8" t="s">
        <v>5</v>
      </c>
      <c r="D134" s="11" t="s">
        <v>1609</v>
      </c>
    </row>
    <row r="135" spans="1:4" ht="30">
      <c r="A135" s="5" t="str">
        <f>HYPERLINK("https://www.oit.va.gov/Services/TRM/ToolPage.aspx?tid=11717^","Audials One")</f>
        <v>Audials One</v>
      </c>
      <c r="B135" s="4" t="s">
        <v>791</v>
      </c>
      <c r="C135" s="8" t="s">
        <v>5</v>
      </c>
      <c r="D135" s="11" t="s">
        <v>6298</v>
      </c>
    </row>
    <row r="136" spans="1:4" ht="30">
      <c r="A136" s="5" t="str">
        <f>HYPERLINK("https://www.oit.va.gov/Services/TRM/ToolPage.aspx?tid=10919^","FastObjects")</f>
        <v>FastObjects</v>
      </c>
      <c r="B136" s="4" t="s">
        <v>791</v>
      </c>
      <c r="C136" s="8" t="s">
        <v>5</v>
      </c>
      <c r="D136" s="11" t="s">
        <v>6605</v>
      </c>
    </row>
    <row r="137" spans="1:4" ht="30">
      <c r="A137" s="5" t="str">
        <f>HYPERLINK("https://www.oit.va.gov/Services/TRM/ToolPage.aspx?tid=14213^","ActiSync")</f>
        <v>ActiSync</v>
      </c>
      <c r="B137" s="4" t="s">
        <v>914</v>
      </c>
      <c r="C137" s="8" t="s">
        <v>5</v>
      </c>
      <c r="D137" s="11" t="s">
        <v>650</v>
      </c>
    </row>
    <row r="138" spans="1:4" ht="30">
      <c r="A138" s="5" t="str">
        <f>HYPERLINK("https://www.oit.va.gov/Services/TRM/ToolPage.aspx?tid=6752^","ActiLife")</f>
        <v>ActiLife</v>
      </c>
      <c r="B138" s="4" t="s">
        <v>914</v>
      </c>
      <c r="C138" s="8" t="s">
        <v>5</v>
      </c>
      <c r="D138" s="11" t="s">
        <v>2213</v>
      </c>
    </row>
    <row r="139" spans="1:4" ht="30">
      <c r="A139" s="5" t="str">
        <f>HYPERLINK("https://www.oit.va.gov/Services/TRM/ToolPage.aspx?tid=9221^","eventACTION")</f>
        <v>eventACTION</v>
      </c>
      <c r="B139" s="4" t="s">
        <v>5189</v>
      </c>
      <c r="C139" s="8" t="s">
        <v>5</v>
      </c>
      <c r="D139" s="11" t="s">
        <v>5190</v>
      </c>
    </row>
    <row r="140" spans="1:4" ht="30">
      <c r="A140" s="5" t="str">
        <f>HYPERLINK("https://www.oit.va.gov/Services/TRM/ToolPage.aspx?tid=15235^","Comprehensive Financial Investigative Solution (CFIS)")</f>
        <v>Comprehensive Financial Investigative Solution (CFIS)</v>
      </c>
      <c r="B140" s="4" t="s">
        <v>1450</v>
      </c>
      <c r="C140" s="8" t="s">
        <v>5</v>
      </c>
      <c r="D140" s="11" t="s">
        <v>1451</v>
      </c>
    </row>
    <row r="141" spans="1:4" ht="30">
      <c r="A141" s="5" t="str">
        <f>HYPERLINK("https://www.oit.va.gov/Services/TRM/ToolPage.aspx?tid=16071^","OsteoProbe (BoneScore)")</f>
        <v>OsteoProbe (BoneScore)</v>
      </c>
      <c r="B141" s="4" t="s">
        <v>4569</v>
      </c>
      <c r="C141" s="8" t="s">
        <v>5</v>
      </c>
      <c r="D141" s="11" t="s">
        <v>4570</v>
      </c>
    </row>
    <row r="142" spans="1:4" ht="30">
      <c r="A142" s="5" t="str">
        <f>HYPERLINK("https://www.oit.va.gov/Services/TRM/ToolPage.aspx?tid=14105^","Active Navigation")</f>
        <v>Active Navigation</v>
      </c>
      <c r="B142" s="4" t="s">
        <v>7387</v>
      </c>
      <c r="C142" s="8" t="s">
        <v>5</v>
      </c>
      <c r="D142" s="11" t="s">
        <v>5044</v>
      </c>
    </row>
    <row r="143" spans="1:4" ht="30">
      <c r="A143" s="5" t="str">
        <f>HYPERLINK("https://www.oit.va.gov/Services/TRM/ToolPage.aspx?tid=13494^","ActivePDF DocConverter")</f>
        <v>ActivePDF DocConverter</v>
      </c>
      <c r="B143" s="4" t="s">
        <v>2214</v>
      </c>
      <c r="C143" s="8" t="s">
        <v>5</v>
      </c>
      <c r="D143" s="11" t="s">
        <v>2215</v>
      </c>
    </row>
    <row r="144" spans="1:4" ht="30">
      <c r="A144" s="5" t="str">
        <f>HYPERLINK("https://www.oit.va.gov/Services/TRM/ToolPage.aspx?tid=5867^","ActivePerl")</f>
        <v>ActivePerl</v>
      </c>
      <c r="B144" s="4" t="s">
        <v>549</v>
      </c>
      <c r="C144" s="8" t="s">
        <v>5</v>
      </c>
      <c r="D144" s="11" t="s">
        <v>550</v>
      </c>
    </row>
    <row r="145" spans="1:4" ht="30">
      <c r="A145" s="5" t="str">
        <f>HYPERLINK("https://www.oit.va.gov/Services/TRM/ToolPage.aspx?tid=6500^","Komodo Edit")</f>
        <v>Komodo Edit</v>
      </c>
      <c r="B145" s="4" t="s">
        <v>549</v>
      </c>
      <c r="C145" s="8" t="s">
        <v>5</v>
      </c>
      <c r="D145" s="11" t="s">
        <v>2700</v>
      </c>
    </row>
    <row r="146" spans="1:4" ht="30">
      <c r="A146" s="5" t="str">
        <f>HYPERLINK("https://www.oit.va.gov/Services/TRM/ToolPage.aspx?tid=13552^","ActivePython")</f>
        <v>ActivePython</v>
      </c>
      <c r="B146" s="4" t="s">
        <v>549</v>
      </c>
      <c r="C146" s="8" t="s">
        <v>5</v>
      </c>
      <c r="D146" s="11" t="s">
        <v>6230</v>
      </c>
    </row>
    <row r="147" spans="1:4" ht="30">
      <c r="A147" s="5" t="str">
        <f>HYPERLINK("https://www.oit.va.gov/Services/TRM/ToolPage.aspx?tid=13341^","ActiveTcl")</f>
        <v>ActiveTcl</v>
      </c>
      <c r="B147" s="4" t="s">
        <v>549</v>
      </c>
      <c r="C147" s="8" t="s">
        <v>5</v>
      </c>
      <c r="D147" s="11" t="s">
        <v>6231</v>
      </c>
    </row>
    <row r="148" spans="1:4" ht="30">
      <c r="A148" s="5" t="str">
        <f>HYPERLINK("https://www.oit.va.gov/Services/TRM/ToolPage.aspx?tid=13626^","Tool Command Language Development Kit (TDK)")</f>
        <v>Tool Command Language Development Kit (TDK)</v>
      </c>
      <c r="B148" s="4" t="s">
        <v>549</v>
      </c>
      <c r="C148" s="8" t="s">
        <v>5</v>
      </c>
      <c r="D148" s="11" t="s">
        <v>5097</v>
      </c>
    </row>
    <row r="149" spans="1:4" ht="30">
      <c r="A149" s="5" t="str">
        <f>HYPERLINK("https://www.oit.va.gov/Services/TRM/ToolPage.aspx?tid=15175^","GENEActiv")</f>
        <v>GENEActiv</v>
      </c>
      <c r="B149" s="4" t="s">
        <v>4177</v>
      </c>
      <c r="C149" s="8" t="s">
        <v>5</v>
      </c>
      <c r="D149" s="11" t="s">
        <v>1400</v>
      </c>
    </row>
    <row r="150" spans="1:4" ht="30">
      <c r="A150" s="5" t="str">
        <f>HYPERLINK("https://www.oit.va.gov/Services/TRM/ToolPage.aspx?tid=10017^","Angelfish Software")</f>
        <v>Angelfish Software</v>
      </c>
      <c r="B150" s="4" t="s">
        <v>5049</v>
      </c>
      <c r="C150" s="8" t="s">
        <v>5</v>
      </c>
      <c r="D150" s="11" t="s">
        <v>2086</v>
      </c>
    </row>
    <row r="151" spans="1:4" ht="30">
      <c r="A151" s="5" t="str">
        <f>HYPERLINK("https://www.oit.va.gov/Services/TRM/ToolPage.aspx?tid=13415^","Actual Multiple Monitors")</f>
        <v>Actual Multiple Monitors</v>
      </c>
      <c r="B151" s="4" t="s">
        <v>6232</v>
      </c>
      <c r="C151" s="8" t="s">
        <v>5</v>
      </c>
      <c r="D151" s="11" t="s">
        <v>6233</v>
      </c>
    </row>
    <row r="152" spans="1:4" ht="30">
      <c r="A152" s="5" t="str">
        <f>HYPERLINK("https://www.oit.va.gov/Services/TRM/ToolPage.aspx?tid=13902^","TransformX")</f>
        <v>TransformX</v>
      </c>
      <c r="B152" s="4" t="s">
        <v>8828</v>
      </c>
      <c r="C152" s="8" t="s">
        <v>5</v>
      </c>
      <c r="D152" s="11" t="s">
        <v>2426</v>
      </c>
    </row>
    <row r="153" spans="1:4" ht="30">
      <c r="A153" s="5" t="str">
        <f>HYPERLINK("https://www.oit.va.gov/Services/TRM/ToolPage.aspx?tid=15173^","Visual Lighting")</f>
        <v>Visual Lighting</v>
      </c>
      <c r="B153" s="4" t="s">
        <v>272</v>
      </c>
      <c r="C153" s="8" t="s">
        <v>5</v>
      </c>
      <c r="D153" s="11" t="s">
        <v>273</v>
      </c>
    </row>
    <row r="154" spans="1:4" ht="30">
      <c r="A154" s="5" t="str">
        <f>HYPERLINK("https://www.oit.va.gov/Services/TRM/ToolPage.aspx?tid=13381^","TransMac")</f>
        <v>TransMac</v>
      </c>
      <c r="B154" s="4" t="s">
        <v>8829</v>
      </c>
      <c r="C154" s="8" t="s">
        <v>5</v>
      </c>
      <c r="D154" s="11" t="s">
        <v>7219</v>
      </c>
    </row>
    <row r="155" spans="1:4" ht="30">
      <c r="A155" s="5" t="str">
        <f>HYPERLINK("https://www.oit.va.gov/Services/TRM/StandardPage.aspx?tid=5223^","Code on Dental Procedures and Nomenclature (CDT Code)")</f>
        <v>Code on Dental Procedures and Nomenclature (CDT Code)</v>
      </c>
      <c r="B155" s="4" t="s">
        <v>5719</v>
      </c>
      <c r="C155" s="8" t="s">
        <v>5</v>
      </c>
      <c r="D155" s="11" t="s">
        <v>5720</v>
      </c>
    </row>
    <row r="156" spans="1:4" ht="30">
      <c r="A156" s="5" t="str">
        <f>HYPERLINK("https://www.oit.va.gov/Services/TRM/ToolPage.aspx?tid=11263^","Node-HTTP-Status")</f>
        <v>Node-HTTP-Status</v>
      </c>
      <c r="B156" s="4" t="s">
        <v>8336</v>
      </c>
      <c r="C156" s="8" t="s">
        <v>5</v>
      </c>
      <c r="D156" s="11" t="s">
        <v>655</v>
      </c>
    </row>
    <row r="157" spans="1:4" ht="30">
      <c r="A157" s="5" t="str">
        <f>HYPERLINK("https://www.oit.va.gov/Services/TRM/ToolPage.aspx?tid=12856^","PowerShell Tools for Visual Studio 2013")</f>
        <v>PowerShell Tools for Visual Studio 2013</v>
      </c>
      <c r="B157" s="4" t="s">
        <v>8466</v>
      </c>
      <c r="C157" s="8" t="s">
        <v>5</v>
      </c>
      <c r="D157" s="11" t="s">
        <v>1922</v>
      </c>
    </row>
    <row r="158" spans="1:4" ht="30">
      <c r="A158" s="5" t="str">
        <f>HYPERLINK("https://www.oit.va.gov/Services/TRM/ToolPage.aspx?tid=13461^","BibDesk")</f>
        <v>BibDesk</v>
      </c>
      <c r="B158" s="4" t="s">
        <v>7551</v>
      </c>
      <c r="C158" s="8" t="s">
        <v>5</v>
      </c>
      <c r="D158" s="11" t="s">
        <v>7552</v>
      </c>
    </row>
    <row r="159" spans="1:4" ht="30">
      <c r="A159" s="5" t="str">
        <f>HYPERLINK("https://www.oit.va.gov/Services/TRM/ToolPage.aspx?tid=6713^","Fujitsu NetCOBOL")</f>
        <v>Fujitsu NetCOBOL</v>
      </c>
      <c r="B159" s="4" t="s">
        <v>358</v>
      </c>
      <c r="C159" s="8" t="s">
        <v>5</v>
      </c>
      <c r="D159" s="11" t="s">
        <v>359</v>
      </c>
    </row>
    <row r="160" spans="1:4" ht="30">
      <c r="A160" s="5" t="str">
        <f>HYPERLINK("https://www.oit.va.gov/Services/TRM/ToolPage.aspx?tid=9842^","OneSite")</f>
        <v>OneSite</v>
      </c>
      <c r="B160" s="4" t="s">
        <v>8362</v>
      </c>
      <c r="C160" s="8" t="s">
        <v>5</v>
      </c>
      <c r="D160" s="11" t="s">
        <v>8363</v>
      </c>
    </row>
    <row r="161" spans="1:4" ht="30">
      <c r="A161" s="5" t="str">
        <f>HYPERLINK("https://www.oit.va.gov/Services/TRM/ToolPage.aspx?tid=13063^","AlphaNET")</f>
        <v>AlphaNET</v>
      </c>
      <c r="B161" s="4" t="s">
        <v>5627</v>
      </c>
      <c r="C161" s="8" t="s">
        <v>5</v>
      </c>
      <c r="D161" s="11" t="s">
        <v>5628</v>
      </c>
    </row>
    <row r="162" spans="1:4" ht="30">
      <c r="A162" s="5" t="str">
        <f>HYPERLINK("https://www.oit.va.gov/Services/TRM/ToolPage.aspx?tid=8534^","Ooh!Media")</f>
        <v>Ooh!Media</v>
      </c>
      <c r="B162" s="4" t="s">
        <v>5627</v>
      </c>
      <c r="C162" s="8" t="s">
        <v>5</v>
      </c>
      <c r="D162" s="11" t="s">
        <v>2893</v>
      </c>
    </row>
    <row r="163" spans="1:4" ht="30">
      <c r="A163" s="5" t="str">
        <f>HYPERLINK("https://www.oit.va.gov/Services/TRM/ToolPage.aspx?tid=5531^","Ad-Aware")</f>
        <v>Ad-Aware</v>
      </c>
      <c r="B163" s="4" t="s">
        <v>5030</v>
      </c>
      <c r="C163" s="8" t="s">
        <v>5</v>
      </c>
      <c r="D163" s="11" t="s">
        <v>5031</v>
      </c>
    </row>
    <row r="164" spans="1:4" ht="30">
      <c r="A164" s="5" t="str">
        <f>HYPERLINK("https://www.oit.va.gov/Services/TRM/ToolPage.aspx?tid=10308^","Add-in Express for Office and .NET")</f>
        <v>Add-in Express for Office and .NET</v>
      </c>
      <c r="B164" s="4" t="s">
        <v>283</v>
      </c>
      <c r="C164" s="8" t="s">
        <v>5</v>
      </c>
      <c r="D164" s="11" t="s">
        <v>284</v>
      </c>
    </row>
    <row r="165" spans="1:4" ht="30">
      <c r="A165" s="5" t="str">
        <f>HYPERLINK("https://www.oit.va.gov/Services/TRM/ToolPage.aspx?tid=13511^","Add-in Express for Internet Explorer and .Net")</f>
        <v>Add-in Express for Internet Explorer and .Net</v>
      </c>
      <c r="B165" s="4" t="s">
        <v>283</v>
      </c>
      <c r="C165" s="8" t="s">
        <v>5</v>
      </c>
      <c r="D165" s="11" t="s">
        <v>2356</v>
      </c>
    </row>
    <row r="166" spans="1:4" ht="30">
      <c r="A166" s="5" t="str">
        <f>HYPERLINK("https://www.oit.va.gov/Services/TRM/ToolPage.aspx?tid=13345^","Add-in Express Advanced Find and Replace for Excel")</f>
        <v>Add-in Express Advanced Find and Replace for Excel</v>
      </c>
      <c r="B166" s="4" t="s">
        <v>283</v>
      </c>
      <c r="C166" s="8" t="s">
        <v>5</v>
      </c>
      <c r="D166" s="11" t="s">
        <v>7399</v>
      </c>
    </row>
    <row r="167" spans="1:4" ht="30">
      <c r="A167" s="5" t="str">
        <f>HYPERLINK("https://www.oit.va.gov/Services/TRM/ToolPage.aspx?tid=13324^","Combine Rows Wizard for Microsoft Excel")</f>
        <v>Combine Rows Wizard for Microsoft Excel</v>
      </c>
      <c r="B167" s="4" t="s">
        <v>283</v>
      </c>
      <c r="C167" s="8" t="s">
        <v>5</v>
      </c>
      <c r="D167" s="11" t="s">
        <v>7678</v>
      </c>
    </row>
    <row r="168" spans="1:4" ht="30">
      <c r="A168" s="5" t="str">
        <f>HYPERLINK("https://www.oit.va.gov/Services/TRM/ToolPage.aspx?tid=13725^","Trim Spaces for Microsoft Excel")</f>
        <v>Trim Spaces for Microsoft Excel</v>
      </c>
      <c r="B168" s="4" t="s">
        <v>283</v>
      </c>
      <c r="C168" s="8" t="s">
        <v>5</v>
      </c>
      <c r="D168" s="11" t="s">
        <v>5593</v>
      </c>
    </row>
    <row r="169" spans="1:4" ht="30">
      <c r="A169" s="5" t="str">
        <f>HYPERLINK("https://www.oit.va.gov/Services/TRM/ToolPage.aspx?tid=13416^","Spreadsheet Assistant")</f>
        <v>Spreadsheet Assistant</v>
      </c>
      <c r="B169" s="4" t="s">
        <v>3550</v>
      </c>
      <c r="C169" s="8" t="s">
        <v>5</v>
      </c>
      <c r="D169" s="11" t="s">
        <v>3551</v>
      </c>
    </row>
    <row r="170" spans="1:4" ht="30">
      <c r="A170" s="5" t="str">
        <f>HYPERLINK("https://www.oit.va.gov/Services/TRM/ToolPage.aspx?tid=15183^","XLSTAT")</f>
        <v>XLSTAT</v>
      </c>
      <c r="B170" s="4" t="s">
        <v>3097</v>
      </c>
      <c r="C170" s="8" t="s">
        <v>5</v>
      </c>
      <c r="D170" s="11" t="s">
        <v>2504</v>
      </c>
    </row>
    <row r="171" spans="1:4" ht="30">
      <c r="A171" s="5" t="str">
        <f>HYPERLINK("https://www.oit.va.gov/Services/TRM/ToolPage.aspx?tid=13426^","Temp File Cleaner (TFC)")</f>
        <v>Temp File Cleaner (TFC)</v>
      </c>
      <c r="B171" s="4" t="s">
        <v>8787</v>
      </c>
      <c r="C171" s="8" t="s">
        <v>5</v>
      </c>
      <c r="D171" s="11" t="s">
        <v>8788</v>
      </c>
    </row>
    <row r="172" spans="1:4" ht="30">
      <c r="A172" s="5" t="str">
        <f>HYPERLINK("https://www.oit.va.gov/Services/TRM/ToolPage.aspx?tid=11141^","VbsEdit")</f>
        <v>VbsEdit</v>
      </c>
      <c r="B172" s="4" t="s">
        <v>8862</v>
      </c>
      <c r="C172" s="8" t="s">
        <v>5</v>
      </c>
      <c r="D172" s="11" t="s">
        <v>8863</v>
      </c>
    </row>
    <row r="173" spans="1:4" ht="30">
      <c r="A173" s="5" t="str">
        <f>HYPERLINK("https://www.oit.va.gov/Services/TRM/ToolPage.aspx?tid=16388^","Adesseo Document Studio")</f>
        <v>Adesseo Document Studio</v>
      </c>
      <c r="B173" s="4" t="s">
        <v>5032</v>
      </c>
      <c r="C173" s="8" t="s">
        <v>5</v>
      </c>
      <c r="D173" s="11" t="s">
        <v>5033</v>
      </c>
    </row>
    <row r="174" spans="1:4" ht="30">
      <c r="A174" s="5" t="str">
        <f>HYPERLINK("https://www.oit.va.gov/Services/TRM/ToolPage.aspx?tid=9800^","LabChart")</f>
        <v>LabChart</v>
      </c>
      <c r="B174" s="4" t="s">
        <v>1681</v>
      </c>
      <c r="C174" s="8" t="s">
        <v>5</v>
      </c>
      <c r="D174" s="11" t="s">
        <v>845</v>
      </c>
    </row>
    <row r="175" spans="1:4" ht="30">
      <c r="A175" s="5" t="str">
        <f>HYPERLINK("https://www.oit.va.gov/Services/TRM/ToolPage.aspx?tid=13640^","Metabolic")</f>
        <v>Metabolic</v>
      </c>
      <c r="B175" s="4" t="s">
        <v>1681</v>
      </c>
      <c r="C175" s="8" t="s">
        <v>5</v>
      </c>
      <c r="D175" s="11" t="s">
        <v>1723</v>
      </c>
    </row>
    <row r="176" spans="1:4" ht="30">
      <c r="A176" s="5" t="str">
        <f>HYPERLINK("https://www.oit.va.gov/Services/TRM/ToolPage.aspx?tid=13693^","Spike Histogram")</f>
        <v>Spike Histogram</v>
      </c>
      <c r="B176" s="4" t="s">
        <v>1681</v>
      </c>
      <c r="C176" s="8" t="s">
        <v>5</v>
      </c>
      <c r="D176" s="11" t="s">
        <v>7157</v>
      </c>
    </row>
    <row r="177" spans="1:4" ht="30">
      <c r="A177" s="5" t="str">
        <f>HYPERLINK("https://www.oit.va.gov/Services/TRM/ToolPage.aspx?tid=13635^","Spirometry")</f>
        <v>Spirometry</v>
      </c>
      <c r="B177" s="4" t="s">
        <v>1681</v>
      </c>
      <c r="C177" s="8" t="s">
        <v>5</v>
      </c>
      <c r="D177" s="11" t="s">
        <v>1197</v>
      </c>
    </row>
    <row r="178" spans="1:4" ht="30">
      <c r="A178" s="5" t="str">
        <f>HYPERLINK("https://www.oit.va.gov/Services/TRM/ToolPage.aspx?tid=14100^","Heart Rate Variability (HRV) Analysis Software")</f>
        <v>Heart Rate Variability (HRV) Analysis Software</v>
      </c>
      <c r="B178" s="4" t="s">
        <v>1681</v>
      </c>
      <c r="C178" s="8" t="s">
        <v>5</v>
      </c>
      <c r="D178" s="11" t="s">
        <v>6655</v>
      </c>
    </row>
    <row r="179" spans="1:4" ht="30">
      <c r="A179" s="5" t="str">
        <f>HYPERLINK("https://www.oit.va.gov/Services/TRM/ToolPage.aspx?tid=13683^","Pressure Volume (PV) Loop")</f>
        <v>Pressure Volume (PV) Loop</v>
      </c>
      <c r="B179" s="4" t="s">
        <v>1681</v>
      </c>
      <c r="C179" s="8" t="s">
        <v>5</v>
      </c>
      <c r="D179" s="11" t="s">
        <v>4668</v>
      </c>
    </row>
    <row r="180" spans="1:4" ht="30">
      <c r="A180" s="5" t="str">
        <f>HYPERLINK("https://www.oit.va.gov/Services/TRM/ToolPage.aspx?tid=13216^","Rsyslog")</f>
        <v>Rsyslog</v>
      </c>
      <c r="B180" s="4" t="s">
        <v>1902</v>
      </c>
      <c r="C180" s="8" t="s">
        <v>5</v>
      </c>
      <c r="D180" s="11" t="s">
        <v>1903</v>
      </c>
    </row>
    <row r="181" spans="1:4" ht="30">
      <c r="A181" s="5" t="str">
        <f>HYPERLINK("https://www.oit.va.gov/Services/TRM/ToolPage.aspx?tid=13392^","RSyslog Windows Agent")</f>
        <v>RSyslog Windows Agent</v>
      </c>
      <c r="B181" s="4" t="s">
        <v>1902</v>
      </c>
      <c r="C181" s="8" t="s">
        <v>5</v>
      </c>
      <c r="D181" s="11" t="s">
        <v>7933</v>
      </c>
    </row>
    <row r="182" spans="1:4" ht="30">
      <c r="A182" s="5" t="str">
        <f>HYPERLINK("https://www.oit.va.gov/Services/TRM/ToolPage.aspx?tid=13346^","Adium")</f>
        <v>Adium</v>
      </c>
      <c r="B182" s="4" t="s">
        <v>6238</v>
      </c>
      <c r="C182" s="8" t="s">
        <v>5</v>
      </c>
      <c r="D182" s="11" t="s">
        <v>6239</v>
      </c>
    </row>
    <row r="183" spans="1:4" ht="30">
      <c r="A183" s="5" t="str">
        <f>HYPERLINK("https://www.oit.va.gov/Services/TRM/ToolPage.aspx?tid=13267^","Adlib Express")</f>
        <v>Adlib Express</v>
      </c>
      <c r="B183" s="4" t="s">
        <v>5034</v>
      </c>
      <c r="C183" s="8" t="s">
        <v>5</v>
      </c>
      <c r="D183" s="11" t="s">
        <v>5035</v>
      </c>
    </row>
    <row r="184" spans="1:4" ht="30">
      <c r="A184" s="5" t="str">
        <f>HYPERLINK("https://www.oit.va.gov/Services/TRM/ToolPage.aspx?tid=5507^","Adobe ColdFusion")</f>
        <v>Adobe ColdFusion</v>
      </c>
      <c r="B184" s="4" t="s">
        <v>285</v>
      </c>
      <c r="C184" s="8" t="s">
        <v>5</v>
      </c>
      <c r="D184" s="11" t="s">
        <v>286</v>
      </c>
    </row>
    <row r="185" spans="1:4" ht="30">
      <c r="A185" s="5" t="str">
        <f>HYPERLINK("https://www.oit.va.gov/Services/TRM/ToolPage.aspx?tid=5546^","Adobe Premiere Pro Creative Cloud (CC)")</f>
        <v>Adobe Premiere Pro Creative Cloud (CC)</v>
      </c>
      <c r="B185" s="4" t="s">
        <v>285</v>
      </c>
      <c r="C185" s="8" t="s">
        <v>5</v>
      </c>
      <c r="D185" s="11" t="s">
        <v>47</v>
      </c>
    </row>
    <row r="186" spans="1:4" ht="30">
      <c r="A186" s="5" t="str">
        <f>HYPERLINK("https://www.oit.va.gov/Services/TRM/ToolPage.aspx?tid=5532^","Adobe Acrobat Document Cloud (DC)")</f>
        <v>Adobe Acrobat Document Cloud (DC)</v>
      </c>
      <c r="B186" s="4" t="s">
        <v>285</v>
      </c>
      <c r="C186" s="8" t="s">
        <v>5</v>
      </c>
      <c r="D186" s="11" t="s">
        <v>551</v>
      </c>
    </row>
    <row r="187" spans="1:4" ht="30">
      <c r="A187" s="5" t="str">
        <f>HYPERLINK("https://www.oit.va.gov/Services/TRM/ToolPage.aspx?tid=5547^","Adobe Acrobat Reader Document Cloud (DC)")</f>
        <v>Adobe Acrobat Reader Document Cloud (DC)</v>
      </c>
      <c r="B187" s="4" t="s">
        <v>285</v>
      </c>
      <c r="C187" s="8" t="s">
        <v>5</v>
      </c>
      <c r="D187" s="11" t="s">
        <v>552</v>
      </c>
    </row>
    <row r="188" spans="1:4" ht="30">
      <c r="A188" s="5" t="str">
        <f>HYPERLINK("https://www.oit.va.gov/Services/TRM/ToolPage.aspx?tid=5505^","Adobe Photoshop Creative Cloud (CC)")</f>
        <v>Adobe Photoshop Creative Cloud (CC)</v>
      </c>
      <c r="B188" s="4" t="s">
        <v>285</v>
      </c>
      <c r="C188" s="8" t="s">
        <v>5</v>
      </c>
      <c r="D188" s="11" t="s">
        <v>553</v>
      </c>
    </row>
    <row r="189" spans="1:4" ht="30">
      <c r="A189" s="5" t="str">
        <f>HYPERLINK("https://www.oit.va.gov/Services/TRM/ToolPage.aspx?tid=5500^","Adobe Bridge")</f>
        <v>Adobe Bridge</v>
      </c>
      <c r="B189" s="4" t="s">
        <v>285</v>
      </c>
      <c r="C189" s="8" t="s">
        <v>5</v>
      </c>
      <c r="D189" s="11" t="s">
        <v>931</v>
      </c>
    </row>
    <row r="190" spans="1:4" ht="30">
      <c r="A190" s="5" t="str">
        <f>HYPERLINK("https://www.oit.va.gov/Services/TRM/ToolPage.aspx?tid=5535^","Adobe Captivate")</f>
        <v>Adobe Captivate</v>
      </c>
      <c r="B190" s="4" t="s">
        <v>285</v>
      </c>
      <c r="C190" s="8" t="s">
        <v>5</v>
      </c>
      <c r="D190" s="11" t="s">
        <v>1259</v>
      </c>
    </row>
    <row r="191" spans="1:4" ht="30">
      <c r="A191" s="5" t="str">
        <f>HYPERLINK("https://www.oit.va.gov/Services/TRM/ToolPage.aspx?tid=10749^","Adobe Creative Cloud Desktop Application")</f>
        <v>Adobe Creative Cloud Desktop Application</v>
      </c>
      <c r="B191" s="4" t="s">
        <v>285</v>
      </c>
      <c r="C191" s="8" t="s">
        <v>5</v>
      </c>
      <c r="D191" s="11" t="s">
        <v>1285</v>
      </c>
    </row>
    <row r="192" spans="1:4" ht="30">
      <c r="A192" s="5" t="str">
        <f>HYPERLINK("https://www.oit.va.gov/Services/TRM/ToolPage.aspx?tid=5001^","Adobe RoboHelp")</f>
        <v>Adobe RoboHelp</v>
      </c>
      <c r="B192" s="4" t="s">
        <v>285</v>
      </c>
      <c r="C192" s="8" t="s">
        <v>5</v>
      </c>
      <c r="D192" s="11" t="s">
        <v>1286</v>
      </c>
    </row>
    <row r="193" spans="1:4" ht="30">
      <c r="A193" s="5" t="str">
        <f>HYPERLINK("https://www.oit.va.gov/Services/TRM/ToolPage.aspx?tid=6234^","Adobe Flash Player")</f>
        <v>Adobe Flash Player</v>
      </c>
      <c r="B193" s="4" t="s">
        <v>285</v>
      </c>
      <c r="C193" s="8" t="s">
        <v>5</v>
      </c>
      <c r="D193" s="11" t="s">
        <v>2080</v>
      </c>
    </row>
    <row r="194" spans="1:4" ht="30">
      <c r="A194" s="5" t="str">
        <f>HYPERLINK("https://www.oit.va.gov/Services/TRM/ToolPage.aspx?tid=5533^","Adobe After Effects")</f>
        <v>Adobe After Effects</v>
      </c>
      <c r="B194" s="4" t="s">
        <v>285</v>
      </c>
      <c r="C194" s="8" t="s">
        <v>5</v>
      </c>
      <c r="D194" s="11" t="s">
        <v>282</v>
      </c>
    </row>
    <row r="195" spans="1:4" ht="30">
      <c r="A195" s="5" t="str">
        <f>HYPERLINK("https://www.oit.va.gov/Services/TRM/ToolPage.aspx?tid=15427^","Adobe Character Animator")</f>
        <v>Adobe Character Animator</v>
      </c>
      <c r="B195" s="4" t="s">
        <v>285</v>
      </c>
      <c r="C195" s="8" t="s">
        <v>5</v>
      </c>
      <c r="D195" s="11" t="s">
        <v>2357</v>
      </c>
    </row>
    <row r="196" spans="1:4" ht="30">
      <c r="A196" s="5" t="str">
        <f>HYPERLINK("https://www.oit.va.gov/Services/TRM/ToolPage.aspx?tid=5536^","Adobe Connect")</f>
        <v>Adobe Connect</v>
      </c>
      <c r="B196" s="4" t="s">
        <v>285</v>
      </c>
      <c r="C196" s="8" t="s">
        <v>5</v>
      </c>
      <c r="D196" s="11" t="s">
        <v>64</v>
      </c>
    </row>
    <row r="197" spans="1:4" ht="30">
      <c r="A197" s="5" t="str">
        <f>HYPERLINK("https://www.oit.va.gov/Services/TRM/ToolPage.aspx?tid=8758^","Adobe Experience Manager (AEM)")</f>
        <v>Adobe Experience Manager (AEM)</v>
      </c>
      <c r="B197" s="4" t="s">
        <v>285</v>
      </c>
      <c r="C197" s="8" t="s">
        <v>5</v>
      </c>
      <c r="D197" s="11" t="s">
        <v>2358</v>
      </c>
    </row>
    <row r="198" spans="1:4" ht="30">
      <c r="A198" s="5" t="str">
        <f>HYPERLINK("https://www.oit.va.gov/Services/TRM/ToolPage.aspx?tid=8181^","Adobe Lightroom Classic Creative Cloud (CC)")</f>
        <v>Adobe Lightroom Classic Creative Cloud (CC)</v>
      </c>
      <c r="B198" s="4" t="s">
        <v>285</v>
      </c>
      <c r="C198" s="8" t="s">
        <v>5</v>
      </c>
      <c r="D198" s="11" t="s">
        <v>2359</v>
      </c>
    </row>
    <row r="199" spans="1:4" ht="30">
      <c r="A199" s="5" t="str">
        <f>HYPERLINK("https://www.oit.va.gov/Services/TRM/ToolPage.aspx?tid=5544^","Adobe Media Encoder")</f>
        <v>Adobe Media Encoder</v>
      </c>
      <c r="B199" s="4" t="s">
        <v>285</v>
      </c>
      <c r="C199" s="8" t="s">
        <v>5</v>
      </c>
      <c r="D199" s="11" t="s">
        <v>2360</v>
      </c>
    </row>
    <row r="200" spans="1:4" ht="30">
      <c r="A200" s="5" t="str">
        <f>HYPERLINK("https://www.oit.va.gov/Services/TRM/ToolPage.aspx?tid=7526^","Adobe ColdFusion Builder")</f>
        <v>Adobe ColdFusion Builder</v>
      </c>
      <c r="B200" s="4" t="s">
        <v>285</v>
      </c>
      <c r="C200" s="8" t="s">
        <v>5</v>
      </c>
      <c r="D200" s="11" t="s">
        <v>3139</v>
      </c>
    </row>
    <row r="201" spans="1:4" ht="30">
      <c r="A201" s="5" t="str">
        <f>HYPERLINK("https://www.oit.va.gov/Services/TRM/ToolPage.aspx?tid=13277^","Adobe Creative Cloud Packager (CCP)")</f>
        <v>Adobe Creative Cloud Packager (CCP)</v>
      </c>
      <c r="B201" s="4" t="s">
        <v>285</v>
      </c>
      <c r="C201" s="8" t="s">
        <v>5</v>
      </c>
      <c r="D201" s="11" t="s">
        <v>3140</v>
      </c>
    </row>
    <row r="202" spans="1:4" ht="30">
      <c r="A202" s="5" t="str">
        <f>HYPERLINK("https://www.oit.va.gov/Services/TRM/ToolPage.aspx?tid=5134^","Adobe LiveCycle")</f>
        <v>Adobe LiveCycle</v>
      </c>
      <c r="B202" s="4" t="s">
        <v>285</v>
      </c>
      <c r="C202" s="8" t="s">
        <v>5</v>
      </c>
      <c r="D202" s="11" t="s">
        <v>2772</v>
      </c>
    </row>
    <row r="203" spans="1:4" ht="30">
      <c r="A203" s="5" t="str">
        <f>HYPERLINK("https://www.oit.va.gov/Services/TRM/ToolPage.aspx?tid=10608^","Adobe Reader and Acrobat Cleaner Tool")</f>
        <v>Adobe Reader and Acrobat Cleaner Tool</v>
      </c>
      <c r="B203" s="4" t="s">
        <v>285</v>
      </c>
      <c r="C203" s="8" t="s">
        <v>5</v>
      </c>
      <c r="D203" s="11" t="s">
        <v>719</v>
      </c>
    </row>
    <row r="204" spans="1:4" ht="30">
      <c r="A204" s="5" t="str">
        <f>HYPERLINK("https://www.oit.va.gov/Services/TRM/ToolPage.aspx?tid=16227^","Adobe Acrobat Microsoft Edge Extension")</f>
        <v>Adobe Acrobat Microsoft Edge Extension</v>
      </c>
      <c r="B204" s="4" t="s">
        <v>285</v>
      </c>
      <c r="C204" s="8" t="s">
        <v>5</v>
      </c>
      <c r="D204" s="11" t="s">
        <v>3649</v>
      </c>
    </row>
    <row r="205" spans="1:4" ht="30">
      <c r="A205" s="5" t="str">
        <f>HYPERLINK("https://www.oit.va.gov/Services/TRM/ToolPage.aspx?tid=16356^","Adobe Acrobat Sign")</f>
        <v>Adobe Acrobat Sign</v>
      </c>
      <c r="B205" s="4" t="s">
        <v>285</v>
      </c>
      <c r="C205" s="8" t="s">
        <v>5</v>
      </c>
      <c r="D205" s="11" t="s">
        <v>3704</v>
      </c>
    </row>
    <row r="206" spans="1:4" ht="30">
      <c r="A206" s="5" t="str">
        <f>HYPERLINK("https://www.oit.va.gov/Services/TRM/ToolPage.aspx?tid=6942^","Adobe Animate Creative Cloud (CC)")</f>
        <v>Adobe Animate Creative Cloud (CC)</v>
      </c>
      <c r="B206" s="4" t="s">
        <v>285</v>
      </c>
      <c r="C206" s="8" t="s">
        <v>5</v>
      </c>
      <c r="D206" s="11" t="s">
        <v>3705</v>
      </c>
    </row>
    <row r="207" spans="1:4" ht="30">
      <c r="A207" s="5" t="str">
        <f>HYPERLINK("https://www.oit.va.gov/Services/TRM/ToolPage.aspx?tid=5534^","Adobe Audition")</f>
        <v>Adobe Audition</v>
      </c>
      <c r="B207" s="4" t="s">
        <v>285</v>
      </c>
      <c r="C207" s="8" t="s">
        <v>5</v>
      </c>
      <c r="D207" s="11" t="s">
        <v>3706</v>
      </c>
    </row>
    <row r="208" spans="1:4" ht="30">
      <c r="A208" s="5" t="str">
        <f>HYPERLINK("https://www.oit.va.gov/Services/TRM/ToolPage.aspx?tid=13311^","Adobe Dimension Creative Cloud (CC)")</f>
        <v>Adobe Dimension Creative Cloud (CC)</v>
      </c>
      <c r="B208" s="4" t="s">
        <v>285</v>
      </c>
      <c r="C208" s="8" t="s">
        <v>5</v>
      </c>
      <c r="D208" s="11" t="s">
        <v>3707</v>
      </c>
    </row>
    <row r="209" spans="1:4" ht="30">
      <c r="A209" s="5" t="str">
        <f>HYPERLINK("https://www.oit.va.gov/Services/TRM/ToolPage.aspx?tid=205^","Adobe Dreamweaver")</f>
        <v>Adobe Dreamweaver</v>
      </c>
      <c r="B209" s="4" t="s">
        <v>285</v>
      </c>
      <c r="C209" s="8" t="s">
        <v>5</v>
      </c>
      <c r="D209" s="11" t="s">
        <v>599</v>
      </c>
    </row>
    <row r="210" spans="1:4" ht="30">
      <c r="A210" s="5" t="str">
        <f>HYPERLINK("https://www.oit.va.gov/Services/TRM/ToolPage.aspx?tid=5539^","Adobe Elements")</f>
        <v>Adobe Elements</v>
      </c>
      <c r="B210" s="4" t="s">
        <v>285</v>
      </c>
      <c r="C210" s="8" t="s">
        <v>5</v>
      </c>
      <c r="D210" s="11" t="s">
        <v>349</v>
      </c>
    </row>
    <row r="211" spans="1:4" ht="30">
      <c r="A211" s="5" t="str">
        <f>HYPERLINK("https://www.oit.va.gov/Services/TRM/ToolPage.aspx?tid=8910^","Adobe Experience Manager (AEM) Forms Digital Rights Management (DRM)")</f>
        <v>Adobe Experience Manager (AEM) Forms Digital Rights Management (DRM)</v>
      </c>
      <c r="B211" s="4" t="s">
        <v>285</v>
      </c>
      <c r="C211" s="8" t="s">
        <v>5</v>
      </c>
      <c r="D211" s="11" t="s">
        <v>3708</v>
      </c>
    </row>
    <row r="212" spans="1:4" ht="30">
      <c r="A212" s="5" t="str">
        <f>HYPERLINK("https://www.oit.va.gov/Services/TRM/ToolPage.aspx?tid=13142^","Adobe Experience Manager Forms Designer")</f>
        <v>Adobe Experience Manager Forms Designer</v>
      </c>
      <c r="B212" s="4" t="s">
        <v>285</v>
      </c>
      <c r="C212" s="8" t="s">
        <v>5</v>
      </c>
      <c r="D212" s="11" t="s">
        <v>1528</v>
      </c>
    </row>
    <row r="213" spans="1:4" ht="30">
      <c r="A213" s="5" t="str">
        <f>HYPERLINK("https://www.oit.va.gov/Services/TRM/ToolPage.aspx?tid=16759^","Adobe File Name Stamper")</f>
        <v>Adobe File Name Stamper</v>
      </c>
      <c r="B213" s="4" t="s">
        <v>285</v>
      </c>
      <c r="C213" s="8" t="s">
        <v>5</v>
      </c>
      <c r="D213" s="11" t="s">
        <v>437</v>
      </c>
    </row>
    <row r="214" spans="1:4" ht="30">
      <c r="A214" s="5" t="str">
        <f>HYPERLINK("https://www.oit.va.gov/Services/TRM/ToolPage.aspx?tid=9216^","Adobe FrameMaker")</f>
        <v>Adobe FrameMaker</v>
      </c>
      <c r="B214" s="4" t="s">
        <v>285</v>
      </c>
      <c r="C214" s="8" t="s">
        <v>5</v>
      </c>
      <c r="D214" s="11" t="s">
        <v>3709</v>
      </c>
    </row>
    <row r="215" spans="1:4" ht="30">
      <c r="A215" s="5" t="str">
        <f>HYPERLINK("https://www.oit.va.gov/Services/TRM/ToolPage.aspx?tid=5503^","Adobe Illustrator Creative Cloud (CC)")</f>
        <v>Adobe Illustrator Creative Cloud (CC)</v>
      </c>
      <c r="B215" s="4" t="s">
        <v>285</v>
      </c>
      <c r="C215" s="8" t="s">
        <v>5</v>
      </c>
      <c r="D215" s="11" t="s">
        <v>1494</v>
      </c>
    </row>
    <row r="216" spans="1:4" ht="30">
      <c r="A216" s="5" t="str">
        <f>HYPERLINK("https://www.oit.va.gov/Services/TRM/ToolPage.aspx?tid=8740^","Adobe InCopy")</f>
        <v>Adobe InCopy</v>
      </c>
      <c r="B216" s="4" t="s">
        <v>285</v>
      </c>
      <c r="C216" s="8" t="s">
        <v>5</v>
      </c>
      <c r="D216" s="11" t="s">
        <v>3710</v>
      </c>
    </row>
    <row r="217" spans="1:4" ht="30">
      <c r="A217" s="5" t="str">
        <f>HYPERLINK("https://www.oit.va.gov/Services/TRM/ToolPage.aspx?tid=5504^","Adobe InDesign")</f>
        <v>Adobe InDesign</v>
      </c>
      <c r="B217" s="4" t="s">
        <v>285</v>
      </c>
      <c r="C217" s="8" t="s">
        <v>5</v>
      </c>
      <c r="D217" s="11" t="s">
        <v>3711</v>
      </c>
    </row>
    <row r="218" spans="1:4" ht="30">
      <c r="A218" s="5" t="str">
        <f>HYPERLINK("https://www.oit.va.gov/Services/TRM/ToolPage.aspx?tid=15254^","Adobe Learning Manager")</f>
        <v>Adobe Learning Manager</v>
      </c>
      <c r="B218" s="4" t="s">
        <v>285</v>
      </c>
      <c r="C218" s="8" t="s">
        <v>5</v>
      </c>
      <c r="D218" s="11" t="s">
        <v>3713</v>
      </c>
    </row>
    <row r="219" spans="1:4" ht="30">
      <c r="A219" s="5" t="str">
        <f>HYPERLINK("https://www.oit.va.gov/Services/TRM/ToolPage.aspx?tid=5875^","Adobe Portable Document Format (PDF) Library Software Development Kit (SDK)")</f>
        <v>Adobe Portable Document Format (PDF) Library Software Development Kit (SDK)</v>
      </c>
      <c r="B219" s="4" t="s">
        <v>285</v>
      </c>
      <c r="C219" s="8" t="s">
        <v>5</v>
      </c>
      <c r="D219" s="11" t="s">
        <v>1822</v>
      </c>
    </row>
    <row r="220" spans="1:4" ht="30">
      <c r="A220" s="5" t="str">
        <f>HYPERLINK("https://www.oit.va.gov/Services/TRM/ToolPage.aspx?tid=12964^","Adobe Scout Creative Cloud (CC)")</f>
        <v>Adobe Scout Creative Cloud (CC)</v>
      </c>
      <c r="B220" s="4" t="s">
        <v>285</v>
      </c>
      <c r="C220" s="8" t="s">
        <v>5</v>
      </c>
      <c r="D220" s="11" t="s">
        <v>1144</v>
      </c>
    </row>
    <row r="221" spans="1:4" ht="30">
      <c r="A221" s="5" t="str">
        <f>HYPERLINK("https://www.oit.va.gov/Services/TRM/ToolPage.aspx?tid=16357^","Adobe Sign for SharePoint (On-Premises)")</f>
        <v>Adobe Sign for SharePoint (On-Premises)</v>
      </c>
      <c r="B221" s="4" t="s">
        <v>285</v>
      </c>
      <c r="C221" s="8" t="s">
        <v>5</v>
      </c>
      <c r="D221" s="11" t="s">
        <v>3714</v>
      </c>
    </row>
    <row r="222" spans="1:4" ht="30">
      <c r="A222" s="5" t="str">
        <f>HYPERLINK("https://www.oit.va.gov/Services/TRM/StandardPage.aspx?tid=6236^","Adobe Small Web Format (SWF)")</f>
        <v>Adobe Small Web Format (SWF)</v>
      </c>
      <c r="B222" s="4" t="s">
        <v>285</v>
      </c>
      <c r="C222" s="8" t="s">
        <v>5</v>
      </c>
      <c r="D222" s="11" t="s">
        <v>2683</v>
      </c>
    </row>
    <row r="223" spans="1:4" ht="30">
      <c r="A223" s="5" t="str">
        <f>HYPERLINK("https://www.oit.va.gov/Services/TRM/ToolPage.aspx?tid=14947^","Adobe User Sync Tool")</f>
        <v>Adobe User Sync Tool</v>
      </c>
      <c r="B223" s="4" t="s">
        <v>285</v>
      </c>
      <c r="C223" s="8" t="s">
        <v>5</v>
      </c>
      <c r="D223" s="11" t="s">
        <v>1787</v>
      </c>
    </row>
    <row r="224" spans="1:4" ht="30">
      <c r="A224" s="5" t="str">
        <f>HYPERLINK("https://www.oit.va.gov/Services/TRM/ToolPage.aspx?tid=14020^","Adobe XD Creative Cloud (CC)")</f>
        <v>Adobe XD Creative Cloud (CC)</v>
      </c>
      <c r="B224" s="4" t="s">
        <v>285</v>
      </c>
      <c r="C224" s="8" t="s">
        <v>5</v>
      </c>
      <c r="D224" s="11" t="s">
        <v>3715</v>
      </c>
    </row>
    <row r="225" spans="1:4" ht="30">
      <c r="A225" s="5" t="str">
        <f>HYPERLINK("https://www.oit.va.gov/Services/TRM/ToolPage.aspx?tid=7598^","Brackets")</f>
        <v>Brackets</v>
      </c>
      <c r="B225" s="4" t="s">
        <v>285</v>
      </c>
      <c r="C225" s="8" t="s">
        <v>5</v>
      </c>
      <c r="D225" s="11" t="s">
        <v>3857</v>
      </c>
    </row>
    <row r="226" spans="1:4" ht="30">
      <c r="A226" s="5" t="str">
        <f>HYPERLINK("https://www.oit.va.gov/Services/TRM/ToolPage.aspx?tid=5537^","Adobe Contribute")</f>
        <v>Adobe Contribute</v>
      </c>
      <c r="B226" s="4" t="s">
        <v>285</v>
      </c>
      <c r="C226" s="8" t="s">
        <v>5</v>
      </c>
      <c r="D226" s="11" t="s">
        <v>5036</v>
      </c>
    </row>
    <row r="227" spans="1:4" ht="30">
      <c r="A227" s="5" t="str">
        <f>HYPERLINK("https://www.oit.va.gov/Services/TRM/ToolPage.aspx?tid=5869^","Adobe Digital Editions")</f>
        <v>Adobe Digital Editions</v>
      </c>
      <c r="B227" s="4" t="s">
        <v>285</v>
      </c>
      <c r="C227" s="8" t="s">
        <v>5</v>
      </c>
      <c r="D227" s="11" t="s">
        <v>5037</v>
      </c>
    </row>
    <row r="228" spans="1:4" ht="30">
      <c r="A228" s="5" t="str">
        <f>HYPERLINK("https://www.oit.va.gov/Services/TRM/ToolPage.aspx?tid=5870^","Adobe ExtendScript Toolkit (ESTK) Creative Cloud (CC)")</f>
        <v>Adobe ExtendScript Toolkit (ESTK) Creative Cloud (CC)</v>
      </c>
      <c r="B228" s="4" t="s">
        <v>285</v>
      </c>
      <c r="C228" s="8" t="s">
        <v>5</v>
      </c>
      <c r="D228" s="11" t="s">
        <v>2295</v>
      </c>
    </row>
    <row r="229" spans="1:4" ht="30">
      <c r="A229" s="5" t="str">
        <f>HYPERLINK("https://www.oit.va.gov/Services/TRM/ToolPage.aspx?tid=8893^","Adobe Flash Player Plug-in")</f>
        <v>Adobe Flash Player Plug-in</v>
      </c>
      <c r="B229" s="4" t="s">
        <v>285</v>
      </c>
      <c r="C229" s="8" t="s">
        <v>5</v>
      </c>
      <c r="D229" s="11" t="s">
        <v>2080</v>
      </c>
    </row>
    <row r="230" spans="1:4" ht="30">
      <c r="A230" s="5" t="str">
        <f>HYPERLINK("https://www.oit.va.gov/Services/TRM/ToolPage.aspx?tid=7316^","Adobe LiveCycle Designer")</f>
        <v>Adobe LiveCycle Designer</v>
      </c>
      <c r="B230" s="4" t="s">
        <v>285</v>
      </c>
      <c r="C230" s="8" t="s">
        <v>5</v>
      </c>
      <c r="D230" s="11" t="s">
        <v>5038</v>
      </c>
    </row>
    <row r="231" spans="1:4" ht="30">
      <c r="A231" s="5" t="str">
        <f>HYPERLINK("https://www.oit.va.gov/Services/TRM/ToolPage.aspx?tid=7142^","Adobe Prelude")</f>
        <v>Adobe Prelude</v>
      </c>
      <c r="B231" s="4" t="s">
        <v>285</v>
      </c>
      <c r="C231" s="8" t="s">
        <v>5</v>
      </c>
      <c r="D231" s="11" t="s">
        <v>4894</v>
      </c>
    </row>
    <row r="232" spans="1:4" ht="30">
      <c r="A232" s="5" t="str">
        <f>HYPERLINK("https://www.oit.va.gov/Services/TRM/StandardPage.aspx?tid=5499^","ActionScript")</f>
        <v>ActionScript</v>
      </c>
      <c r="B232" s="4" t="s">
        <v>285</v>
      </c>
      <c r="C232" s="8" t="s">
        <v>5</v>
      </c>
      <c r="D232" s="11" t="s">
        <v>5613</v>
      </c>
    </row>
    <row r="233" spans="1:4" ht="30">
      <c r="A233" s="5" t="str">
        <f>HYPERLINK("https://www.oit.va.gov/Services/TRM/ToolPage.aspx?tid=5501^","Adobe Fireworks")</f>
        <v>Adobe Fireworks</v>
      </c>
      <c r="B233" s="4" t="s">
        <v>285</v>
      </c>
      <c r="C233" s="8" t="s">
        <v>5</v>
      </c>
      <c r="D233" s="11" t="s">
        <v>1130</v>
      </c>
    </row>
    <row r="234" spans="1:4" ht="30">
      <c r="A234" s="5" t="str">
        <f>HYPERLINK("https://www.oit.va.gov/Services/TRM/ToolPage.aspx?tid=15430^","Adobe Acrobat (Google Chrome Extension)")</f>
        <v>Adobe Acrobat (Google Chrome Extension)</v>
      </c>
      <c r="B234" s="4" t="s">
        <v>285</v>
      </c>
      <c r="C234" s="8" t="s">
        <v>5</v>
      </c>
      <c r="D234" s="11" t="s">
        <v>969</v>
      </c>
    </row>
    <row r="235" spans="1:4" ht="30">
      <c r="A235" s="5" t="str">
        <f>HYPERLINK("https://www.oit.va.gov/Services/TRM/ToolPage.aspx?tid=16344^","Adobe Acrobat for Microsoft Teams")</f>
        <v>Adobe Acrobat for Microsoft Teams</v>
      </c>
      <c r="B235" s="4" t="s">
        <v>285</v>
      </c>
      <c r="C235" s="8" t="s">
        <v>5</v>
      </c>
      <c r="D235" s="11" t="s">
        <v>6240</v>
      </c>
    </row>
    <row r="236" spans="1:4" ht="30">
      <c r="A236" s="5" t="str">
        <f>HYPERLINK("https://www.oit.va.gov/Services/TRM/ToolPage.aspx?tid=12817^","Adobe Camera Raw")</f>
        <v>Adobe Camera Raw</v>
      </c>
      <c r="B236" s="4" t="s">
        <v>285</v>
      </c>
      <c r="C236" s="8" t="s">
        <v>5</v>
      </c>
      <c r="D236" s="11" t="s">
        <v>6073</v>
      </c>
    </row>
    <row r="237" spans="1:4" ht="30">
      <c r="A237" s="5" t="str">
        <f>HYPERLINK("https://www.oit.va.gov/Services/TRM/ToolPage.aspx?tid=9739^","Adobe Campaign")</f>
        <v>Adobe Campaign</v>
      </c>
      <c r="B237" s="4" t="s">
        <v>285</v>
      </c>
      <c r="C237" s="8" t="s">
        <v>5</v>
      </c>
      <c r="D237" s="11" t="s">
        <v>6241</v>
      </c>
    </row>
    <row r="238" spans="1:4" ht="30">
      <c r="A238" s="5" t="str">
        <f>HYPERLINK("https://www.oit.va.gov/Services/TRM/ToolPage.aspx?tid=10607^","Adobe Content Viewer")</f>
        <v>Adobe Content Viewer</v>
      </c>
      <c r="B238" s="4" t="s">
        <v>285</v>
      </c>
      <c r="C238" s="8" t="s">
        <v>5</v>
      </c>
      <c r="D238" s="11" t="s">
        <v>6242</v>
      </c>
    </row>
    <row r="239" spans="1:4" ht="30">
      <c r="A239" s="5" t="str">
        <f>HYPERLINK("https://www.oit.va.gov/Services/TRM/StandardPage.aspx?tid=6235^","Adobe Flash Video (FLV)")</f>
        <v>Adobe Flash Video (FLV)</v>
      </c>
      <c r="B239" s="4" t="s">
        <v>285</v>
      </c>
      <c r="C239" s="8" t="s">
        <v>5</v>
      </c>
      <c r="D239" s="11" t="s">
        <v>6243</v>
      </c>
    </row>
    <row r="240" spans="1:4" ht="30">
      <c r="A240" s="5" t="str">
        <f>HYPERLINK("https://www.oit.va.gov/Services/TRM/ToolPage.aspx?tid=13526^","Adobe Fuse Creative Cloud (CC)")</f>
        <v>Adobe Fuse Creative Cloud (CC)</v>
      </c>
      <c r="B240" s="4" t="s">
        <v>285</v>
      </c>
      <c r="C240" s="8" t="s">
        <v>5</v>
      </c>
      <c r="D240" s="11" t="s">
        <v>2356</v>
      </c>
    </row>
    <row r="241" spans="1:4" ht="30">
      <c r="A241" s="5" t="str">
        <f>HYPERLINK("https://www.oit.va.gov/Services/TRM/ToolPage.aspx?tid=7330^","Adobe Muse Creative Cloud (CC)")</f>
        <v>Adobe Muse Creative Cloud (CC)</v>
      </c>
      <c r="B241" s="4" t="s">
        <v>285</v>
      </c>
      <c r="C241" s="8" t="s">
        <v>5</v>
      </c>
      <c r="D241" s="11" t="s">
        <v>6244</v>
      </c>
    </row>
    <row r="242" spans="1:4" ht="30">
      <c r="A242" s="5" t="str">
        <f>HYPERLINK("https://www.oit.va.gov/Services/TRM/ToolPage.aspx?tid=15394^","Adobe Premiere Rush")</f>
        <v>Adobe Premiere Rush</v>
      </c>
      <c r="B242" s="4" t="s">
        <v>285</v>
      </c>
      <c r="C242" s="8" t="s">
        <v>5</v>
      </c>
      <c r="D242" s="11" t="s">
        <v>6245</v>
      </c>
    </row>
    <row r="243" spans="1:4" ht="30">
      <c r="A243" s="5" t="str">
        <f>HYPERLINK("https://www.oit.va.gov/Services/TRM/ToolPage.aspx?tid=7634^","Adobe Presenter")</f>
        <v>Adobe Presenter</v>
      </c>
      <c r="B243" s="4" t="s">
        <v>285</v>
      </c>
      <c r="C243" s="8" t="s">
        <v>5</v>
      </c>
      <c r="D243" s="11" t="s">
        <v>5763</v>
      </c>
    </row>
    <row r="244" spans="1:4" ht="30">
      <c r="A244" s="5" t="str">
        <f>HYPERLINK("https://www.oit.va.gov/Services/TRM/ToolPage.aspx?tid=7144^","Adobe SpeedGrade")</f>
        <v>Adobe SpeedGrade</v>
      </c>
      <c r="B244" s="4" t="s">
        <v>285</v>
      </c>
      <c r="C244" s="8" t="s">
        <v>5</v>
      </c>
      <c r="D244" s="11" t="s">
        <v>6246</v>
      </c>
    </row>
    <row r="245" spans="1:4" ht="30">
      <c r="A245" s="5" t="str">
        <f>HYPERLINK("https://www.oit.va.gov/Services/TRM/ToolPage.aspx?tid=11695^","CMap Resources")</f>
        <v>CMap Resources</v>
      </c>
      <c r="B245" s="4" t="s">
        <v>285</v>
      </c>
      <c r="C245" s="8" t="s">
        <v>5</v>
      </c>
      <c r="D245" s="11" t="s">
        <v>6429</v>
      </c>
    </row>
    <row r="246" spans="1:4" ht="30">
      <c r="A246" s="5" t="str">
        <f>HYPERLINK("https://www.oit.va.gov/Services/TRM/ToolPage.aspx?tid=12916^","JRun")</f>
        <v>JRun</v>
      </c>
      <c r="B246" s="4" t="s">
        <v>285</v>
      </c>
      <c r="C246" s="8" t="s">
        <v>5</v>
      </c>
      <c r="D246" s="11" t="s">
        <v>6755</v>
      </c>
    </row>
    <row r="247" spans="1:4" ht="30">
      <c r="A247" s="5" t="str">
        <f>HYPERLINK("https://www.oit.va.gov/Services/TRM/ToolPage.aspx?tid=10362^","Accelio Capture Classic Filler")</f>
        <v>Accelio Capture Classic Filler</v>
      </c>
      <c r="B247" s="4" t="s">
        <v>285</v>
      </c>
      <c r="C247" s="8" t="s">
        <v>5</v>
      </c>
      <c r="D247" s="11" t="s">
        <v>3316</v>
      </c>
    </row>
    <row r="248" spans="1:4" ht="30">
      <c r="A248" s="5" t="str">
        <f>HYPERLINK("https://www.oit.va.gov/Services/TRM/ToolPage.aspx?tid=12849^","Adobe Application Manager")</f>
        <v>Adobe Application Manager</v>
      </c>
      <c r="B248" s="4" t="s">
        <v>285</v>
      </c>
      <c r="C248" s="8" t="s">
        <v>5</v>
      </c>
      <c r="D248" s="11" t="s">
        <v>7400</v>
      </c>
    </row>
    <row r="249" spans="1:4" ht="30">
      <c r="A249" s="5" t="str">
        <f>HYPERLINK("https://www.oit.va.gov/Services/TRM/ToolPage.aspx?tid=13310^","Adobe Asset Services")</f>
        <v>Adobe Asset Services</v>
      </c>
      <c r="B249" s="4" t="s">
        <v>285</v>
      </c>
      <c r="C249" s="8" t="s">
        <v>5</v>
      </c>
      <c r="D249" s="11" t="s">
        <v>6216</v>
      </c>
    </row>
    <row r="250" spans="1:4" ht="30">
      <c r="A250" s="5" t="str">
        <f>HYPERLINK("https://www.oit.va.gov/Services/TRM/ToolPage.aspx?tid=13283^","Adobe Color Management Module (CMM)")</f>
        <v>Adobe Color Management Module (CMM)</v>
      </c>
      <c r="B250" s="4" t="s">
        <v>285</v>
      </c>
      <c r="C250" s="8" t="s">
        <v>5</v>
      </c>
      <c r="D250" s="11" t="s">
        <v>7401</v>
      </c>
    </row>
    <row r="251" spans="1:4" ht="30">
      <c r="A251" s="5" t="str">
        <f>HYPERLINK("https://www.oit.va.gov/Services/TRM/ToolPage.aspx?tid=11247^","Adobe Connect Add-in for Microsoft Outlook")</f>
        <v>Adobe Connect Add-in for Microsoft Outlook</v>
      </c>
      <c r="B251" s="4" t="s">
        <v>285</v>
      </c>
      <c r="C251" s="8" t="s">
        <v>5</v>
      </c>
      <c r="D251" s="11" t="s">
        <v>7165</v>
      </c>
    </row>
    <row r="252" spans="1:4" ht="30">
      <c r="A252" s="5" t="str">
        <f>HYPERLINK("https://www.oit.va.gov/Services/TRM/ToolPage.aspx?tid=10593^","Adobe Drive")</f>
        <v>Adobe Drive</v>
      </c>
      <c r="B252" s="4" t="s">
        <v>285</v>
      </c>
      <c r="C252" s="8" t="s">
        <v>5</v>
      </c>
      <c r="D252" s="11" t="s">
        <v>5079</v>
      </c>
    </row>
    <row r="253" spans="1:4" ht="30">
      <c r="A253" s="5" t="str">
        <f>HYPERLINK("https://www.oit.va.gov/Services/TRM/ToolPage.aspx?tid=7311^","Adobe Edge Animate")</f>
        <v>Adobe Edge Animate</v>
      </c>
      <c r="B253" s="4" t="s">
        <v>285</v>
      </c>
      <c r="C253" s="8" t="s">
        <v>5</v>
      </c>
      <c r="D253" s="11" t="s">
        <v>7402</v>
      </c>
    </row>
    <row r="254" spans="1:4" ht="30">
      <c r="A254" s="5" t="str">
        <f>HYPERLINK("https://www.oit.va.gov/Services/TRM/ToolPage.aspx?tid=7312^","Adobe Edge Code")</f>
        <v>Adobe Edge Code</v>
      </c>
      <c r="B254" s="4" t="s">
        <v>285</v>
      </c>
      <c r="C254" s="8" t="s">
        <v>5</v>
      </c>
      <c r="D254" s="11" t="s">
        <v>7403</v>
      </c>
    </row>
    <row r="255" spans="1:4" ht="30">
      <c r="A255" s="5" t="str">
        <f>HYPERLINK("https://www.oit.va.gov/Services/TRM/ToolPage.aspx?tid=7313^","Adobe Edge Inspect")</f>
        <v>Adobe Edge Inspect</v>
      </c>
      <c r="B255" s="4" t="s">
        <v>285</v>
      </c>
      <c r="C255" s="8" t="s">
        <v>5</v>
      </c>
      <c r="D255" s="11" t="s">
        <v>7404</v>
      </c>
    </row>
    <row r="256" spans="1:4" ht="30">
      <c r="A256" s="5" t="str">
        <f>HYPERLINK("https://www.oit.va.gov/Services/TRM/ToolPage.aspx?tid=7315^","Adobe Edge Reflow")</f>
        <v>Adobe Edge Reflow</v>
      </c>
      <c r="B256" s="4" t="s">
        <v>285</v>
      </c>
      <c r="C256" s="8" t="s">
        <v>5</v>
      </c>
      <c r="D256" s="11" t="s">
        <v>7405</v>
      </c>
    </row>
    <row r="257" spans="1:4" ht="30">
      <c r="A257" s="5" t="str">
        <f>HYPERLINK("https://www.oit.va.gov/Services/TRM/ToolPage.aspx?tid=5540^","Adobe Encore")</f>
        <v>Adobe Encore</v>
      </c>
      <c r="B257" s="4" t="s">
        <v>285</v>
      </c>
      <c r="C257" s="8" t="s">
        <v>5</v>
      </c>
      <c r="D257" s="11" t="s">
        <v>7406</v>
      </c>
    </row>
    <row r="258" spans="1:4" ht="30">
      <c r="A258" s="5" t="str">
        <f>HYPERLINK("https://www.oit.va.gov/Services/TRM/ToolPage.aspx?tid=5871^","Adobe Extension Manager")</f>
        <v>Adobe Extension Manager</v>
      </c>
      <c r="B258" s="4" t="s">
        <v>285</v>
      </c>
      <c r="C258" s="8" t="s">
        <v>5</v>
      </c>
      <c r="D258" s="11" t="s">
        <v>7407</v>
      </c>
    </row>
    <row r="259" spans="1:4" ht="30">
      <c r="A259" s="5" t="str">
        <f>HYPERLINK("https://www.oit.va.gov/Services/TRM/ToolPage.aspx?tid=5502^","Adobe Flash Builder")</f>
        <v>Adobe Flash Builder</v>
      </c>
      <c r="B259" s="4" t="s">
        <v>285</v>
      </c>
      <c r="C259" s="8" t="s">
        <v>5</v>
      </c>
      <c r="D259" s="11" t="s">
        <v>7408</v>
      </c>
    </row>
    <row r="260" spans="1:4" ht="30">
      <c r="A260" s="5" t="str">
        <f>HYPERLINK("https://www.oit.va.gov/Services/TRM/ToolPage.aspx?tid=13669^","Adobe Flash Catalyst")</f>
        <v>Adobe Flash Catalyst</v>
      </c>
      <c r="B260" s="4" t="s">
        <v>285</v>
      </c>
      <c r="C260" s="8" t="s">
        <v>5</v>
      </c>
      <c r="D260" s="11" t="s">
        <v>7409</v>
      </c>
    </row>
    <row r="261" spans="1:4" ht="30">
      <c r="A261" s="5" t="str">
        <f>HYPERLINK("https://www.oit.va.gov/Services/TRM/ToolPage.aspx?tid=13680^","Adobe Gaming Software Development Kit (SDK)")</f>
        <v>Adobe Gaming Software Development Kit (SDK)</v>
      </c>
      <c r="B261" s="4" t="s">
        <v>285</v>
      </c>
      <c r="C261" s="8" t="s">
        <v>5</v>
      </c>
      <c r="D261" s="11" t="s">
        <v>7410</v>
      </c>
    </row>
    <row r="262" spans="1:4" ht="30">
      <c r="A262" s="5" t="str">
        <f>HYPERLINK("https://www.oit.va.gov/Services/TRM/ToolPage.aspx?tid=10311^","Adobe Help Manager")</f>
        <v>Adobe Help Manager</v>
      </c>
      <c r="B262" s="4" t="s">
        <v>285</v>
      </c>
      <c r="C262" s="8" t="s">
        <v>5</v>
      </c>
      <c r="D262" s="11" t="s">
        <v>5048</v>
      </c>
    </row>
    <row r="263" spans="1:4" ht="30">
      <c r="A263" s="5" t="str">
        <f>HYPERLINK("https://www.oit.va.gov/Services/TRM/ToolPage.aspx?tid=5872^","Adobe Help Viewer")</f>
        <v>Adobe Help Viewer</v>
      </c>
      <c r="B263" s="4" t="s">
        <v>285</v>
      </c>
      <c r="C263" s="8" t="s">
        <v>5</v>
      </c>
      <c r="D263" s="11" t="s">
        <v>7411</v>
      </c>
    </row>
    <row r="264" spans="1:4" ht="30">
      <c r="A264" s="5" t="str">
        <f>HYPERLINK("https://www.oit.va.gov/Services/TRM/ToolPage.aspx?tid=13668^","Adobe HomeSite")</f>
        <v>Adobe HomeSite</v>
      </c>
      <c r="B264" s="4" t="s">
        <v>285</v>
      </c>
      <c r="C264" s="8" t="s">
        <v>5</v>
      </c>
      <c r="D264" s="11" t="s">
        <v>7409</v>
      </c>
    </row>
    <row r="265" spans="1:4" ht="30">
      <c r="A265" s="5" t="str">
        <f>HYPERLINK("https://www.oit.va.gov/Services/TRM/ToolPage.aspx?tid=13143^","Adobe Kuler")</f>
        <v>Adobe Kuler</v>
      </c>
      <c r="B265" s="4" t="s">
        <v>285</v>
      </c>
      <c r="C265" s="8" t="s">
        <v>5</v>
      </c>
      <c r="D265" s="11" t="s">
        <v>7412</v>
      </c>
    </row>
    <row r="266" spans="1:4" ht="30">
      <c r="A266" s="5" t="str">
        <f>HYPERLINK("https://www.oit.va.gov/Services/TRM/ToolPage.aspx?tid=5543^","Adobe Linguistics")</f>
        <v>Adobe Linguistics</v>
      </c>
      <c r="B266" s="4" t="s">
        <v>285</v>
      </c>
      <c r="C266" s="8" t="s">
        <v>5</v>
      </c>
      <c r="D266" s="11" t="s">
        <v>6305</v>
      </c>
    </row>
    <row r="267" spans="1:4" ht="30">
      <c r="A267" s="5" t="str">
        <f>HYPERLINK("https://www.oit.va.gov/Services/TRM/ToolPage.aspx?tid=5873^","Adobe OnLocation")</f>
        <v>Adobe OnLocation</v>
      </c>
      <c r="B267" s="4" t="s">
        <v>285</v>
      </c>
      <c r="C267" s="8" t="s">
        <v>5</v>
      </c>
      <c r="D267" s="11" t="s">
        <v>7413</v>
      </c>
    </row>
    <row r="268" spans="1:4" ht="30">
      <c r="A268" s="5" t="str">
        <f>HYPERLINK("https://www.oit.va.gov/Services/TRM/ToolPage.aspx?tid=13700^","Adobe Pagemaker")</f>
        <v>Adobe Pagemaker</v>
      </c>
      <c r="B268" s="4" t="s">
        <v>285</v>
      </c>
      <c r="C268" s="8" t="s">
        <v>5</v>
      </c>
      <c r="D268" s="11" t="s">
        <v>6290</v>
      </c>
    </row>
    <row r="269" spans="1:4" ht="30">
      <c r="A269" s="5" t="str">
        <f>HYPERLINK("https://www.oit.va.gov/Services/TRM/ToolPage.aspx?tid=15450^","Adobe Reader Extended Asian Language Font Pack")</f>
        <v>Adobe Reader Extended Asian Language Font Pack</v>
      </c>
      <c r="B269" s="4" t="s">
        <v>285</v>
      </c>
      <c r="C269" s="8" t="s">
        <v>5</v>
      </c>
      <c r="D269" s="11" t="s">
        <v>1284</v>
      </c>
    </row>
    <row r="270" spans="1:4" ht="30">
      <c r="A270" s="5" t="str">
        <f>HYPERLINK("https://www.oit.va.gov/Services/TRM/ToolPage.aspx?tid=5548^","Adobe Shockwave Player")</f>
        <v>Adobe Shockwave Player</v>
      </c>
      <c r="B270" s="4" t="s">
        <v>285</v>
      </c>
      <c r="C270" s="8" t="s">
        <v>5</v>
      </c>
      <c r="D270" s="11" t="s">
        <v>7414</v>
      </c>
    </row>
    <row r="271" spans="1:4" ht="30">
      <c r="A271" s="5" t="str">
        <f>HYPERLINK("https://www.oit.va.gov/Services/TRM/ToolPage.aspx?tid=13312^","Adobe Soundbooth")</f>
        <v>Adobe Soundbooth</v>
      </c>
      <c r="B271" s="4" t="s">
        <v>285</v>
      </c>
      <c r="C271" s="8" t="s">
        <v>5</v>
      </c>
      <c r="D271" s="11" t="s">
        <v>7415</v>
      </c>
    </row>
    <row r="272" spans="1:4" ht="30">
      <c r="A272" s="5" t="str">
        <f>HYPERLINK("https://www.oit.va.gov/Services/TRM/ToolPage.aspx?tid=13313^","Adobe Story Creative Cloud (CC) Classic")</f>
        <v>Adobe Story Creative Cloud (CC) Classic</v>
      </c>
      <c r="B272" s="4" t="s">
        <v>285</v>
      </c>
      <c r="C272" s="8" t="s">
        <v>5</v>
      </c>
      <c r="D272" s="11" t="s">
        <v>7416</v>
      </c>
    </row>
    <row r="273" spans="1:4" ht="30">
      <c r="A273" s="5" t="str">
        <f>HYPERLINK("https://www.oit.va.gov/Services/TRM/ToolPage.aspx?tid=13554^","Adobe Type Manager (ATM) Deluxe")</f>
        <v>Adobe Type Manager (ATM) Deluxe</v>
      </c>
      <c r="B273" s="4" t="s">
        <v>285</v>
      </c>
      <c r="C273" s="8" t="s">
        <v>5</v>
      </c>
      <c r="D273" s="11" t="s">
        <v>7417</v>
      </c>
    </row>
    <row r="274" spans="1:4" ht="30">
      <c r="A274" s="5" t="str">
        <f>HYPERLINK("https://www.oit.va.gov/Services/TRM/ToolPage.aspx?tid=5550^","Adobe Version Cue")</f>
        <v>Adobe Version Cue</v>
      </c>
      <c r="B274" s="4" t="s">
        <v>285</v>
      </c>
      <c r="C274" s="8" t="s">
        <v>5</v>
      </c>
      <c r="D274" s="11" t="s">
        <v>7418</v>
      </c>
    </row>
    <row r="275" spans="1:4" ht="30">
      <c r="A275" s="5" t="str">
        <f>HYPERLINK("https://www.oit.va.gov/Services/TRM/ToolPage.aspx?tid=13609^","Flash Media Live Encoder")</f>
        <v>Flash Media Live Encoder</v>
      </c>
      <c r="B275" s="4" t="s">
        <v>285</v>
      </c>
      <c r="C275" s="8" t="s">
        <v>5</v>
      </c>
      <c r="D275" s="11" t="s">
        <v>7872</v>
      </c>
    </row>
    <row r="276" spans="1:4" ht="30">
      <c r="A276" s="5" t="str">
        <f>HYPERLINK("https://www.oit.va.gov/Services/TRM/ToolPage.aspx?tid=14116^","FreeHand MX")</f>
        <v>FreeHand MX</v>
      </c>
      <c r="B276" s="4" t="s">
        <v>285</v>
      </c>
      <c r="C276" s="8" t="s">
        <v>5</v>
      </c>
      <c r="D276" s="11" t="s">
        <v>7959</v>
      </c>
    </row>
    <row r="277" spans="1:4" ht="30">
      <c r="A277" s="5" t="str">
        <f>HYPERLINK("https://www.oit.va.gov/Services/TRM/StandardPage.aspx?tid=5823^","MXML")</f>
        <v>MXML</v>
      </c>
      <c r="B277" s="4" t="s">
        <v>285</v>
      </c>
      <c r="C277" s="8" t="s">
        <v>5</v>
      </c>
      <c r="D277" s="11" t="s">
        <v>2789</v>
      </c>
    </row>
    <row r="278" spans="1:4" ht="30">
      <c r="A278" s="5" t="str">
        <f>HYPERLINK("https://www.oit.va.gov/Services/TRM/ToolPage.aspx?tid=13384^","Presenter Video Express")</f>
        <v>Presenter Video Express</v>
      </c>
      <c r="B278" s="4" t="s">
        <v>285</v>
      </c>
      <c r="C278" s="8" t="s">
        <v>5</v>
      </c>
      <c r="D278" s="11" t="s">
        <v>7477</v>
      </c>
    </row>
    <row r="279" spans="1:4" ht="30">
      <c r="A279" s="5" t="str">
        <f>HYPERLINK("https://www.oit.va.gov/Services/TRM/ToolPage.aspx?tid=13447^","RoboSource Control")</f>
        <v>RoboSource Control</v>
      </c>
      <c r="B279" s="4" t="s">
        <v>285</v>
      </c>
      <c r="C279" s="8" t="s">
        <v>5</v>
      </c>
      <c r="D279" s="11" t="s">
        <v>7058</v>
      </c>
    </row>
    <row r="280" spans="1:4" ht="30">
      <c r="A280" s="5" t="str">
        <f>HYPERLINK("https://www.oit.va.gov/Services/TRM/ToolPage.aspx?tid=10263^","Scalable Vector Graphics (SVG) Viewer")</f>
        <v>Scalable Vector Graphics (SVG) Viewer</v>
      </c>
      <c r="B280" s="4" t="s">
        <v>285</v>
      </c>
      <c r="C280" s="8" t="s">
        <v>5</v>
      </c>
      <c r="D280" s="11" t="s">
        <v>8593</v>
      </c>
    </row>
    <row r="281" spans="1:4" ht="30">
      <c r="A281" s="5" t="str">
        <f>HYPERLINK("https://www.oit.va.gov/Services/TRM/ToolPage.aspx?tid=5115^","Spry Framework")</f>
        <v>Spry Framework</v>
      </c>
      <c r="B281" s="4" t="s">
        <v>5522</v>
      </c>
      <c r="C281" s="8" t="s">
        <v>5</v>
      </c>
      <c r="D281" s="11" t="s">
        <v>5523</v>
      </c>
    </row>
    <row r="282" spans="1:4" ht="30">
      <c r="A282" s="5" t="str">
        <f>HYPERLINK("https://www.oit.va.gov/Services/TRM/ToolPage.aspx?tid=16353^","Advanced Bionics Target Cochlear Implant (CI)")</f>
        <v>Advanced Bionics Target Cochlear Implant (CI)</v>
      </c>
      <c r="B282" s="4" t="s">
        <v>3716</v>
      </c>
      <c r="C282" s="8" t="s">
        <v>5</v>
      </c>
      <c r="D282" s="11" t="s">
        <v>3717</v>
      </c>
    </row>
    <row r="283" spans="1:4" ht="30">
      <c r="A283" s="5" t="str">
        <f>HYPERLINK("https://www.oit.va.gov/Services/TRM/ToolPage.aspx?tid=8019^","SoundWave")</f>
        <v>SoundWave</v>
      </c>
      <c r="B283" s="4" t="s">
        <v>3716</v>
      </c>
      <c r="C283" s="8" t="s">
        <v>5</v>
      </c>
      <c r="D283" s="11" t="s">
        <v>1344</v>
      </c>
    </row>
    <row r="284" spans="1:4" ht="30">
      <c r="A284" s="5" t="str">
        <f>HYPERLINK("https://www.oit.va.gov/Services/TRM/ToolPage.aspx?tid=16620^","Sleep Profiler")</f>
        <v>Sleep Profiler</v>
      </c>
      <c r="B284" s="4" t="s">
        <v>4802</v>
      </c>
      <c r="C284" s="8" t="s">
        <v>5</v>
      </c>
      <c r="D284" s="11" t="s">
        <v>4803</v>
      </c>
    </row>
    <row r="285" spans="1:4" ht="30">
      <c r="A285" s="5" t="str">
        <f>HYPERLINK("https://www.oit.va.gov/Services/TRM/ToolPage.aspx?tid=10996^","Sharable Content Object Reference Model (SCORM) Conformance Test Suite")</f>
        <v>Sharable Content Object Reference Model (SCORM) Conformance Test Suite</v>
      </c>
      <c r="B285" s="4" t="s">
        <v>5505</v>
      </c>
      <c r="C285" s="8" t="s">
        <v>5</v>
      </c>
      <c r="D285" s="11" t="s">
        <v>957</v>
      </c>
    </row>
    <row r="286" spans="1:4" ht="30">
      <c r="A286" s="5" t="str">
        <f>HYPERLINK("https://www.oit.va.gov/Services/TRM/ToolPage.aspx?tid=14660^","Advanced Mechanical Technology, Inc. (AMTI) Balance Clinic")</f>
        <v>Advanced Mechanical Technology, Inc. (AMTI) Balance Clinic</v>
      </c>
      <c r="B286" s="4" t="s">
        <v>68</v>
      </c>
      <c r="C286" s="8" t="s">
        <v>5</v>
      </c>
      <c r="D286" s="11" t="s">
        <v>69</v>
      </c>
    </row>
    <row r="287" spans="1:4" ht="30">
      <c r="A287" s="5" t="str">
        <f>HYPERLINK("https://www.oit.va.gov/Services/TRM/ToolPage.aspx?tid=14331^","HydraVision (HV)")</f>
        <v>HydraVision (HV)</v>
      </c>
      <c r="B287" s="4" t="s">
        <v>8044</v>
      </c>
      <c r="C287" s="8" t="s">
        <v>5</v>
      </c>
      <c r="D287" s="11" t="s">
        <v>6419</v>
      </c>
    </row>
    <row r="288" spans="1:4" ht="30">
      <c r="A288" s="5" t="str">
        <f>HYPERLINK("https://www.oit.va.gov/Services/TRM/ToolPage.aspx?tid=14888^","Free Mouse Auto Clicker")</f>
        <v>Free Mouse Auto Clicker</v>
      </c>
      <c r="B288" s="4" t="s">
        <v>7951</v>
      </c>
      <c r="C288" s="8" t="s">
        <v>5</v>
      </c>
      <c r="D288" s="11" t="s">
        <v>2185</v>
      </c>
    </row>
    <row r="289" spans="1:4" ht="30">
      <c r="A289" s="5" t="str">
        <f>HYPERLINK("https://www.oit.va.gov/Services/TRM/ToolPage.aspx?tid=15402^","Advanced Solutions Tissue Structure Information Modeling (TSIM)")</f>
        <v>Advanced Solutions Tissue Structure Information Modeling (TSIM)</v>
      </c>
      <c r="B289" s="4" t="s">
        <v>918</v>
      </c>
      <c r="C289" s="8" t="s">
        <v>5</v>
      </c>
      <c r="D289" s="11" t="s">
        <v>919</v>
      </c>
    </row>
    <row r="290" spans="1:4" ht="30">
      <c r="A290" s="5" t="str">
        <f>HYPERLINK("https://www.oit.va.gov/Services/TRM/ToolPage.aspx?tid=13961^","Advanced Sterilization Products (ASP) ACCESS Technology")</f>
        <v>Advanced Sterilization Products (ASP) ACCESS Technology</v>
      </c>
      <c r="B290" s="4" t="s">
        <v>2361</v>
      </c>
      <c r="C290" s="8" t="s">
        <v>5</v>
      </c>
      <c r="D290" s="11" t="s">
        <v>2362</v>
      </c>
    </row>
    <row r="291" spans="1:4" ht="30">
      <c r="A291" s="5" t="str">
        <f>HYPERLINK("https://www.oit.va.gov/Services/TRM/ToolPage.aspx?tid=11145^","ActiveBatch")</f>
        <v>ActiveBatch</v>
      </c>
      <c r="B291" s="4" t="s">
        <v>7392</v>
      </c>
      <c r="C291" s="8" t="s">
        <v>5</v>
      </c>
      <c r="D291" s="11" t="s">
        <v>7393</v>
      </c>
    </row>
    <row r="292" spans="1:4" ht="30">
      <c r="A292" s="5" t="str">
        <f>HYPERLINK("https://www.oit.va.gov/Services/TRM/ToolPage.aspx?tid=14770^","Shadow Tracker Live Mapping and Reporting Software")</f>
        <v>Shadow Tracker Live Mapping and Reporting Software</v>
      </c>
      <c r="B292" s="4" t="s">
        <v>3516</v>
      </c>
      <c r="C292" s="8" t="s">
        <v>5</v>
      </c>
      <c r="D292" s="11" t="s">
        <v>51</v>
      </c>
    </row>
    <row r="293" spans="1:4" ht="30">
      <c r="A293" s="5" t="str">
        <f>HYPERLINK("https://www.oit.va.gov/Services/TRM/ToolPage.aspx?tid=15709^","Process Improvement Visuals Pack")</f>
        <v>Process Improvement Visuals Pack</v>
      </c>
      <c r="B293" s="4" t="s">
        <v>6007</v>
      </c>
      <c r="C293" s="8" t="s">
        <v>5</v>
      </c>
      <c r="D293" s="11" t="s">
        <v>6008</v>
      </c>
    </row>
    <row r="294" spans="1:4" ht="30">
      <c r="A294" s="5" t="str">
        <f>HYPERLINK("https://www.oit.va.gov/Services/TRM/ToolPage.aspx?tid=5582^","Biopoint Patient Identification Wristband System")</f>
        <v>Biopoint Patient Identification Wristband System</v>
      </c>
      <c r="B294" s="4" t="s">
        <v>1366</v>
      </c>
      <c r="C294" s="8" t="s">
        <v>5</v>
      </c>
      <c r="D294" s="11" t="s">
        <v>167</v>
      </c>
    </row>
    <row r="295" spans="1:4" ht="30">
      <c r="A295" s="5" t="str">
        <f>HYPERLINK("https://www.oit.va.gov/Services/TRM/ToolPage.aspx?tid=8159^","Day-of-Care")</f>
        <v>Day-of-Care</v>
      </c>
      <c r="B295" s="4" t="s">
        <v>1366</v>
      </c>
      <c r="C295" s="8" t="s">
        <v>5</v>
      </c>
      <c r="D295" s="11" t="s">
        <v>2217</v>
      </c>
    </row>
    <row r="296" spans="1:4" ht="30">
      <c r="A296" s="5" t="str">
        <f>HYPERLINK("https://www.oit.va.gov/Services/TRM/ToolPage.aspx?tid=8013^","bioPoint Barcode Point of Care (BPOC)")</f>
        <v>bioPoint Barcode Point of Care (BPOC)</v>
      </c>
      <c r="B296" s="4" t="s">
        <v>1366</v>
      </c>
      <c r="C296" s="8" t="s">
        <v>5</v>
      </c>
      <c r="D296" s="11" t="s">
        <v>5681</v>
      </c>
    </row>
    <row r="297" spans="1:4" ht="30">
      <c r="A297" s="5" t="str">
        <f>HYPERLINK("https://www.oit.va.gov/Services/TRM/ToolPage.aspx?tid=12894^","Active Strategy Enterprise (ASE)")</f>
        <v>Active Strategy Enterprise (ASE)</v>
      </c>
      <c r="B297" s="4" t="s">
        <v>7388</v>
      </c>
      <c r="C297" s="8" t="s">
        <v>5</v>
      </c>
      <c r="D297" s="11" t="s">
        <v>7389</v>
      </c>
    </row>
    <row r="298" spans="1:4" ht="30">
      <c r="A298" s="5" t="str">
        <f>HYPERLINK("https://www.oit.va.gov/Services/TRM/ToolPage.aspx?tid=8567^","Adxstudio Portals")</f>
        <v>Adxstudio Portals</v>
      </c>
      <c r="B298" s="4" t="s">
        <v>6249</v>
      </c>
      <c r="C298" s="8" t="s">
        <v>5</v>
      </c>
      <c r="D298" s="11" t="s">
        <v>6250</v>
      </c>
    </row>
    <row r="299" spans="1:4" ht="30">
      <c r="A299" s="5" t="str">
        <f>HYPERLINK("https://www.oit.va.gov/Services/TRM/ToolPage.aspx?tid=13435^","FastTrack Schedule")</f>
        <v>FastTrack Schedule</v>
      </c>
      <c r="B299" s="4" t="s">
        <v>7916</v>
      </c>
      <c r="C299" s="8" t="s">
        <v>5</v>
      </c>
      <c r="D299" s="11" t="s">
        <v>5242</v>
      </c>
    </row>
    <row r="300" spans="1:4" ht="30">
      <c r="A300" s="5" t="str">
        <f>HYPERLINK("https://www.oit.va.gov/Services/TRM/ToolPage.aspx?tid=7473^","Parametric Cost Engineering System Software (PACES)")</f>
        <v>Parametric Cost Engineering System Software (PACES)</v>
      </c>
      <c r="B300" s="4" t="s">
        <v>8393</v>
      </c>
      <c r="C300" s="8" t="s">
        <v>5</v>
      </c>
      <c r="D300" s="11" t="s">
        <v>7360</v>
      </c>
    </row>
    <row r="301" spans="1:4" ht="30">
      <c r="A301" s="5" t="str">
        <f>HYPERLINK("https://www.oit.va.gov/Services/TRM/ToolPage.aspx?tid=7370^","AEScripts pt_ImportSubtitles Plugin")</f>
        <v>AEScripts pt_ImportSubtitles Plugin</v>
      </c>
      <c r="B301" s="4" t="s">
        <v>2363</v>
      </c>
      <c r="C301" s="8" t="s">
        <v>5</v>
      </c>
      <c r="D301" s="11" t="s">
        <v>2364</v>
      </c>
    </row>
    <row r="302" spans="1:4" ht="30">
      <c r="A302" s="5" t="str">
        <f>HYPERLINK("https://www.oit.va.gov/Services/TRM/ToolPage.aspx?tid=13383^","Partition Find &amp; Mount")</f>
        <v>Partition Find &amp; Mount</v>
      </c>
      <c r="B302" s="4" t="s">
        <v>8394</v>
      </c>
      <c r="C302" s="8" t="s">
        <v>5</v>
      </c>
      <c r="D302" s="11" t="s">
        <v>8395</v>
      </c>
    </row>
    <row r="303" spans="1:4" ht="30">
      <c r="A303" s="5" t="str">
        <f>HYPERLINK("https://www.oit.va.gov/Services/TRM/ToolPage.aspx?tid=15094^","Affinity Designer")</f>
        <v>Affinity Designer</v>
      </c>
      <c r="B303" s="4" t="s">
        <v>6251</v>
      </c>
      <c r="C303" s="8" t="s">
        <v>5</v>
      </c>
      <c r="D303" s="11" t="s">
        <v>187</v>
      </c>
    </row>
    <row r="304" spans="1:4" ht="30">
      <c r="A304" s="5" t="str">
        <f>HYPERLINK("https://www.oit.va.gov/Services/TRM/ToolPage.aspx?tid=10456^","Beamhit 390 Comprehensive Interactive Training System")</f>
        <v>Beamhit 390 Comprehensive Interactive Training System</v>
      </c>
      <c r="B304" s="4" t="s">
        <v>7542</v>
      </c>
      <c r="C304" s="8" t="s">
        <v>5</v>
      </c>
      <c r="D304" s="11" t="s">
        <v>2453</v>
      </c>
    </row>
    <row r="305" spans="1:4" ht="30">
      <c r="A305" s="5" t="str">
        <f>HYPERLINK("https://www.oit.va.gov/Services/TRM/ToolPage.aspx?tid=13694^","AForge.NET")</f>
        <v>AForge.NET</v>
      </c>
      <c r="B305" s="4" t="s">
        <v>7</v>
      </c>
      <c r="C305" s="8" t="s">
        <v>5</v>
      </c>
      <c r="D305" s="11" t="s">
        <v>8</v>
      </c>
    </row>
    <row r="306" spans="1:4" ht="30">
      <c r="A306" s="5" t="str">
        <f>HYPERLINK("https://www.oit.va.gov/Services/TRM/ToolPage.aspx?tid=10650^","Judi by AG Mednet")</f>
        <v>Judi by AG Mednet</v>
      </c>
      <c r="B306" s="4" t="s">
        <v>225</v>
      </c>
      <c r="C306" s="8" t="s">
        <v>5</v>
      </c>
      <c r="D306" s="11" t="s">
        <v>226</v>
      </c>
    </row>
    <row r="307" spans="1:4" ht="30">
      <c r="A307" s="5" t="str">
        <f>HYPERLINK("https://www.oit.va.gov/Services/TRM/ToolPage.aspx?tid=14067^","Agamon")</f>
        <v>Agamon</v>
      </c>
      <c r="B307" s="4" t="s">
        <v>7421</v>
      </c>
      <c r="C307" s="8" t="s">
        <v>5</v>
      </c>
      <c r="D307" s="11" t="s">
        <v>7422</v>
      </c>
    </row>
    <row r="308" spans="1:4" ht="30">
      <c r="A308" s="5" t="str">
        <f>HYPERLINK("https://www.oit.va.gov/Services/TRM/ToolPage.aspx?tid=15479^","Agantty")</f>
        <v>Agantty</v>
      </c>
      <c r="B308" s="4" t="s">
        <v>7423</v>
      </c>
      <c r="C308" s="8" t="s">
        <v>5</v>
      </c>
      <c r="D308" s="11" t="s">
        <v>7424</v>
      </c>
    </row>
    <row r="309" spans="1:4" ht="30">
      <c r="A309" s="5" t="str">
        <f>HYPERLINK("https://www.oit.va.gov/Services/TRM/ToolPage.aspx?tid=8071^","Project Re-Engineered Discharge (RED)")</f>
        <v>Project Re-Engineered Discharge (RED)</v>
      </c>
      <c r="B309" s="4" t="s">
        <v>2879</v>
      </c>
      <c r="C309" s="8" t="s">
        <v>5</v>
      </c>
      <c r="D309" s="11" t="s">
        <v>2880</v>
      </c>
    </row>
    <row r="310" spans="1:4" ht="30">
      <c r="A310" s="5" t="str">
        <f>HYPERLINK("https://www.oit.va.gov/Services/TRM/ToolPage.aspx?tid=11576^","Agency for Healthcare Research and Quality (AHRQ) MapIT")</f>
        <v>Agency for Healthcare Research and Quality (AHRQ) MapIT</v>
      </c>
      <c r="B310" s="4" t="s">
        <v>2879</v>
      </c>
      <c r="C310" s="8" t="s">
        <v>5</v>
      </c>
      <c r="D310" s="11" t="s">
        <v>6020</v>
      </c>
    </row>
    <row r="311" spans="1:4" ht="45">
      <c r="A311" s="5" t="str">
        <f>HYPERLINK("https://www.oit.va.gov/Services/TRM/ToolPage.aspx?tid=7602^","Clinical Classifications Software (CCS) for International Classification of Diseases, 9th Revision, Clinical Modification (ICD-9-CM)")</f>
        <v>Clinical Classifications Software (CCS) for International Classification of Diseases, 9th Revision, Clinical Modification (ICD-9-CM)</v>
      </c>
      <c r="B311" s="4" t="s">
        <v>2879</v>
      </c>
      <c r="C311" s="8" t="s">
        <v>5</v>
      </c>
      <c r="D311" s="11" t="s">
        <v>7660</v>
      </c>
    </row>
    <row r="312" spans="1:4" ht="30">
      <c r="A312" s="5" t="str">
        <f>HYPERLINK("https://www.oit.va.gov/Services/TRM/ToolPage.aspx?tid=9540^","Quality Indicators (QI) Windows")</f>
        <v>Quality Indicators (QI) Windows</v>
      </c>
      <c r="B312" s="4" t="s">
        <v>2879</v>
      </c>
      <c r="C312" s="8" t="s">
        <v>5</v>
      </c>
      <c r="D312" s="11" t="s">
        <v>8513</v>
      </c>
    </row>
    <row r="313" spans="1:4" ht="30">
      <c r="A313" s="5" t="str">
        <f>HYPERLINK("https://www.oit.va.gov/Services/TRM/ToolPage.aspx?tid=14647^","Enterprise Imaging (EI)")</f>
        <v>Enterprise Imaging (EI)</v>
      </c>
      <c r="B313" s="4" t="s">
        <v>2550</v>
      </c>
      <c r="C313" s="8" t="s">
        <v>5</v>
      </c>
      <c r="D313" s="11" t="s">
        <v>2551</v>
      </c>
    </row>
    <row r="314" spans="1:4" ht="30">
      <c r="A314" s="5" t="str">
        <f>HYPERLINK("https://www.oit.va.gov/Services/TRM/ToolPage.aspx?tid=5628^","IMPAX")</f>
        <v>IMPAX</v>
      </c>
      <c r="B314" s="4" t="s">
        <v>2550</v>
      </c>
      <c r="C314" s="8" t="s">
        <v>5</v>
      </c>
      <c r="D314" s="11" t="s">
        <v>2652</v>
      </c>
    </row>
    <row r="315" spans="1:4" ht="30">
      <c r="A315" s="5" t="str">
        <f>HYPERLINK("https://www.oit.va.gov/Services/TRM/ToolPage.aspx?tid=15977^","AGFA iPlan")</f>
        <v>AGFA iPlan</v>
      </c>
      <c r="B315" s="4" t="s">
        <v>2550</v>
      </c>
      <c r="C315" s="8" t="s">
        <v>5</v>
      </c>
      <c r="D315" s="11" t="s">
        <v>69</v>
      </c>
    </row>
    <row r="316" spans="1:4" ht="30">
      <c r="A316" s="5" t="str">
        <f>HYPERLINK("https://www.oit.va.gov/Services/TRM/ToolPage.aspx?tid=16656^","Enterprise Imaging Launcher")</f>
        <v>Enterprise Imaging Launcher</v>
      </c>
      <c r="B316" s="4" t="s">
        <v>2550</v>
      </c>
      <c r="C316" s="8" t="s">
        <v>5</v>
      </c>
      <c r="D316" s="11" t="s">
        <v>7867</v>
      </c>
    </row>
    <row r="317" spans="1:4" ht="30">
      <c r="A317" s="5" t="str">
        <f>HYPERLINK("https://www.oit.va.gov/Services/TRM/ToolPage.aspx?tid=5551^","TalkStation Information System (IS)")</f>
        <v>TalkStation Information System (IS)</v>
      </c>
      <c r="B317" s="4" t="s">
        <v>2550</v>
      </c>
      <c r="C317" s="8" t="s">
        <v>5</v>
      </c>
      <c r="D317" s="11" t="s">
        <v>8780</v>
      </c>
    </row>
    <row r="318" spans="1:4" ht="30">
      <c r="A318" s="5" t="str">
        <f>HYPERLINK("https://www.oit.va.gov/Services/TRM/ToolPage.aspx?tid=13670^","2100 Expert Software")</f>
        <v>2100 Expert Software</v>
      </c>
      <c r="B318" s="4" t="s">
        <v>2337</v>
      </c>
      <c r="C318" s="8" t="s">
        <v>5</v>
      </c>
      <c r="D318" s="11" t="s">
        <v>2338</v>
      </c>
    </row>
    <row r="319" spans="1:4" ht="30">
      <c r="A319" s="5" t="str">
        <f>HYPERLINK("https://www.oit.va.gov/Services/TRM/ToolPage.aspx?tid=11602^","BioTek Gen5")</f>
        <v>BioTek Gen5</v>
      </c>
      <c r="B319" s="4" t="s">
        <v>2337</v>
      </c>
      <c r="C319" s="8" t="s">
        <v>5</v>
      </c>
      <c r="D319" s="11" t="s">
        <v>3835</v>
      </c>
    </row>
    <row r="320" spans="1:4" ht="30">
      <c r="A320" s="5" t="str">
        <f>HYPERLINK("https://www.oit.va.gov/Services/TRM/ToolPage.aspx?tid=7909^","GeneSpring Gene Expression (GX)")</f>
        <v>GeneSpring Gene Expression (GX)</v>
      </c>
      <c r="B320" s="4" t="s">
        <v>2337</v>
      </c>
      <c r="C320" s="8" t="s">
        <v>5</v>
      </c>
      <c r="D320" s="11" t="s">
        <v>63</v>
      </c>
    </row>
    <row r="321" spans="1:4" ht="30">
      <c r="A321" s="5" t="str">
        <f>HYPERLINK("https://www.oit.va.gov/Services/TRM/ToolPage.aspx?tid=13869^","Seahorse Wave Pro")</f>
        <v>Seahorse Wave Pro</v>
      </c>
      <c r="B321" s="4" t="s">
        <v>2337</v>
      </c>
      <c r="C321" s="8" t="s">
        <v>5</v>
      </c>
      <c r="D321" s="11" t="s">
        <v>4774</v>
      </c>
    </row>
    <row r="322" spans="1:4" ht="30">
      <c r="A322" s="5" t="str">
        <f>HYPERLINK("https://www.oit.va.gov/Services/TRM/ToolPage.aspx?tid=16003^","TapeStation")</f>
        <v>TapeStation</v>
      </c>
      <c r="B322" s="4" t="s">
        <v>2337</v>
      </c>
      <c r="C322" s="8" t="s">
        <v>5</v>
      </c>
      <c r="D322" s="11" t="s">
        <v>1948</v>
      </c>
    </row>
    <row r="323" spans="1:4" ht="30">
      <c r="A323" s="5" t="str">
        <f>HYPERLINK("https://www.oit.va.gov/Services/TRM/ToolPage.aspx?tid=14071^","MassHunter")</f>
        <v>MassHunter</v>
      </c>
      <c r="B323" s="4" t="s">
        <v>2337</v>
      </c>
      <c r="C323" s="8" t="s">
        <v>5</v>
      </c>
      <c r="D323" s="11" t="s">
        <v>845</v>
      </c>
    </row>
    <row r="324" spans="1:4" ht="30">
      <c r="A324" s="5" t="str">
        <f>HYPERLINK("https://www.oit.va.gov/Services/TRM/ToolPage.aspx?tid=16322^","NovoExpress")</f>
        <v>NovoExpress</v>
      </c>
      <c r="B324" s="4" t="s">
        <v>2337</v>
      </c>
      <c r="C324" s="8" t="s">
        <v>5</v>
      </c>
      <c r="D324" s="11" t="s">
        <v>3012</v>
      </c>
    </row>
    <row r="325" spans="1:4" ht="30">
      <c r="A325" s="5" t="str">
        <f>HYPERLINK("https://www.oit.va.gov/Services/TRM/ToolPage.aspx?tid=13622^","OpenLab Enterprise Content Manager (ECM)")</f>
        <v>OpenLab Enterprise Content Manager (ECM)</v>
      </c>
      <c r="B325" s="4" t="s">
        <v>2337</v>
      </c>
      <c r="C325" s="8" t="s">
        <v>5</v>
      </c>
      <c r="D325" s="11" t="s">
        <v>1228</v>
      </c>
    </row>
    <row r="326" spans="1:4" ht="30">
      <c r="A326" s="5" t="str">
        <f>HYPERLINK("https://www.oit.va.gov/Services/TRM/ToolPage.aspx?tid=7506^","AgilePoint NX")</f>
        <v>AgilePoint NX</v>
      </c>
      <c r="B326" s="4" t="s">
        <v>5041</v>
      </c>
      <c r="C326" s="8" t="s">
        <v>5</v>
      </c>
      <c r="D326" s="11" t="s">
        <v>5042</v>
      </c>
    </row>
    <row r="327" spans="1:4" ht="30">
      <c r="A327" s="5" t="str">
        <f>HYPERLINK("https://www.oit.va.gov/Services/TRM/ToolPage.aspx?tid=14258^","InCare Equipment Tracking System")</f>
        <v>InCare Equipment Tracking System</v>
      </c>
      <c r="B327" s="4" t="s">
        <v>1626</v>
      </c>
      <c r="C327" s="8" t="s">
        <v>5</v>
      </c>
      <c r="D327" s="11" t="s">
        <v>1627</v>
      </c>
    </row>
    <row r="328" spans="1:4" ht="30">
      <c r="A328" s="5" t="str">
        <f>HYPERLINK("https://www.oit.va.gov/Services/TRM/ToolPage.aspx?tid=13373^","JKW-IP Software")</f>
        <v>JKW-IP Software</v>
      </c>
      <c r="B328" s="4" t="s">
        <v>6751</v>
      </c>
      <c r="C328" s="8" t="s">
        <v>5</v>
      </c>
      <c r="D328" s="11" t="s">
        <v>6752</v>
      </c>
    </row>
    <row r="329" spans="1:4" ht="30">
      <c r="A329" s="5" t="str">
        <f>HYPERLINK("https://www.oit.va.gov/Services/TRM/ToolPage.aspx?tid=11570^","Agisoft Metashape")</f>
        <v>Agisoft Metashape</v>
      </c>
      <c r="B329" s="4" t="s">
        <v>5043</v>
      </c>
      <c r="C329" s="8" t="s">
        <v>5</v>
      </c>
      <c r="D329" s="11" t="s">
        <v>5044</v>
      </c>
    </row>
    <row r="330" spans="1:4" ht="30">
      <c r="A330" s="5" t="str">
        <f>HYPERLINK("https://www.oit.va.gov/Services/TRM/ToolPage.aspx?tid=12861^","Java Common Internet File System (JCIFS)-ng")</f>
        <v>Java Common Internet File System (JCIFS)-ng</v>
      </c>
      <c r="B330" s="4" t="s">
        <v>6742</v>
      </c>
      <c r="C330" s="8" t="s">
        <v>5</v>
      </c>
      <c r="D330" s="11" t="s">
        <v>6743</v>
      </c>
    </row>
    <row r="331" spans="1:4" ht="30">
      <c r="A331" s="5" t="str">
        <f>HYPERLINK("https://www.oit.va.gov/Services/TRM/ToolPage.aspx?tid=13883^","Any to Icon")</f>
        <v>Any to Icon</v>
      </c>
      <c r="B331" s="4" t="s">
        <v>7454</v>
      </c>
      <c r="C331" s="8" t="s">
        <v>5</v>
      </c>
      <c r="D331" s="11" t="s">
        <v>7455</v>
      </c>
    </row>
    <row r="332" spans="1:4" ht="30">
      <c r="A332" s="5" t="str">
        <f>HYPERLINK("https://www.oit.va.gov/Services/TRM/ToolPage.aspx?tid=6303^","Window-Eyes")</f>
        <v>Window-Eyes</v>
      </c>
      <c r="B332" s="4" t="s">
        <v>7329</v>
      </c>
      <c r="C332" s="8" t="s">
        <v>5</v>
      </c>
      <c r="D332" s="11" t="s">
        <v>3545</v>
      </c>
    </row>
    <row r="333" spans="1:4" ht="30">
      <c r="A333" s="5" t="str">
        <f>HYPERLINK("https://www.oit.va.gov/Services/TRM/ToolPage.aspx?tid=13186^","ZoomText Keyboard")</f>
        <v>ZoomText Keyboard</v>
      </c>
      <c r="B333" s="4" t="s">
        <v>7329</v>
      </c>
      <c r="C333" s="8" t="s">
        <v>5</v>
      </c>
      <c r="D333" s="11" t="s">
        <v>4201</v>
      </c>
    </row>
    <row r="334" spans="1:4" ht="30">
      <c r="A334" s="5" t="str">
        <f>HYPERLINK("https://www.oit.va.gov/Services/TRM/ToolPage.aspx?tid=15131^","Key Organizer")</f>
        <v>Key Organizer</v>
      </c>
      <c r="B334" s="4" t="s">
        <v>6765</v>
      </c>
      <c r="C334" s="8" t="s">
        <v>5</v>
      </c>
      <c r="D334" s="11" t="s">
        <v>6766</v>
      </c>
    </row>
    <row r="335" spans="1:4" ht="30">
      <c r="A335" s="5" t="str">
        <f>HYPERLINK("https://www.oit.va.gov/Services/TRM/ToolPage.aspx?tid=7864^","Aidin")</f>
        <v>Aidin</v>
      </c>
      <c r="B335" s="4" t="s">
        <v>7425</v>
      </c>
      <c r="C335" s="8" t="s">
        <v>5</v>
      </c>
      <c r="D335" s="11" t="s">
        <v>2372</v>
      </c>
    </row>
    <row r="336" spans="1:4" ht="30">
      <c r="A336" s="5" t="str">
        <f>HYPERLINK("https://www.oit.va.gov/Services/TRM/ToolPage.aspx?tid=15513^","Aidoc")</f>
        <v>Aidoc</v>
      </c>
      <c r="B336" s="4" t="s">
        <v>6252</v>
      </c>
      <c r="C336" s="8" t="s">
        <v>5</v>
      </c>
      <c r="D336" s="11" t="s">
        <v>6253</v>
      </c>
    </row>
    <row r="337" spans="1:4" ht="30">
      <c r="A337" s="5" t="str">
        <f>HYPERLINK("https://www.oit.va.gov/Services/TRM/ToolPage.aspx?tid=13467^","Video Converter")</f>
        <v>Video Converter</v>
      </c>
      <c r="B337" s="4" t="s">
        <v>8871</v>
      </c>
      <c r="C337" s="8" t="s">
        <v>5</v>
      </c>
      <c r="D337" s="11" t="s">
        <v>3643</v>
      </c>
    </row>
    <row r="338" spans="1:4" ht="30">
      <c r="A338" s="5" t="str">
        <f>HYPERLINK("https://www.oit.va.gov/Services/TRM/ToolPage.aspx?tid=12923^","eCase Human Resources (HR) Employee Relations/Labor Relations (ER/LR)")</f>
        <v>eCase Human Resources (HR) Employee Relations/Labor Relations (ER/LR)</v>
      </c>
      <c r="B338" s="4" t="s">
        <v>7833</v>
      </c>
      <c r="C338" s="8" t="s">
        <v>5</v>
      </c>
      <c r="D338" s="11" t="s">
        <v>3874</v>
      </c>
    </row>
    <row r="339" spans="1:4" ht="30">
      <c r="A339" s="5" t="str">
        <f>HYPERLINK("https://www.oit.va.gov/Services/TRM/ToolPage.aspx?tid=16874^","IX Support Tool")</f>
        <v>IX Support Tool</v>
      </c>
      <c r="B339" s="4" t="s">
        <v>4291</v>
      </c>
      <c r="C339" s="8" t="s">
        <v>5</v>
      </c>
      <c r="D339" s="11" t="s">
        <v>4163</v>
      </c>
    </row>
    <row r="340" spans="1:4" ht="30">
      <c r="A340" s="5" t="str">
        <f>HYPERLINK("https://www.oit.va.gov/Services/TRM/ToolPage.aspx?tid=15166^","IX-SOFT")</f>
        <v>IX-SOFT</v>
      </c>
      <c r="B340" s="4" t="s">
        <v>4291</v>
      </c>
      <c r="C340" s="8" t="s">
        <v>5</v>
      </c>
      <c r="D340" s="11" t="s">
        <v>4292</v>
      </c>
    </row>
    <row r="341" spans="1:4" ht="30">
      <c r="A341" s="5" t="str">
        <f>HYPERLINK("https://www.oit.va.gov/Services/TRM/ToolPage.aspx?tid=9760^","Trusted End Node Security (TENS)")</f>
        <v>Trusted End Node Security (TENS)</v>
      </c>
      <c r="B341" s="4" t="s">
        <v>7252</v>
      </c>
      <c r="C341" s="8" t="s">
        <v>5</v>
      </c>
      <c r="D341" s="11" t="s">
        <v>7253</v>
      </c>
    </row>
    <row r="342" spans="1:4" ht="30">
      <c r="A342" s="5" t="str">
        <f>HYPERLINK("https://www.oit.va.gov/Services/TRM/ToolPage.aspx?tid=10595^","Synapse")</f>
        <v>Synapse</v>
      </c>
      <c r="B342" s="4" t="s">
        <v>6094</v>
      </c>
      <c r="C342" s="8" t="s">
        <v>5</v>
      </c>
      <c r="D342" s="11" t="s">
        <v>3448</v>
      </c>
    </row>
    <row r="343" spans="1:4" ht="30">
      <c r="A343" s="5" t="str">
        <f>HYPERLINK("https://www.oit.va.gov/Services/TRM/ToolPage.aspx?tid=10732^","Nerve")</f>
        <v>Nerve</v>
      </c>
      <c r="B343" s="4" t="s">
        <v>6094</v>
      </c>
      <c r="C343" s="8" t="s">
        <v>5</v>
      </c>
      <c r="D343" s="11" t="s">
        <v>5360</v>
      </c>
    </row>
    <row r="344" spans="1:4" ht="30">
      <c r="A344" s="5" t="str">
        <f>HYPERLINK("https://www.oit.va.gov/Services/TRM/ToolPage.aspx?tid=10233^","Enzyme")</f>
        <v>Enzyme</v>
      </c>
      <c r="B344" s="4" t="s">
        <v>6094</v>
      </c>
      <c r="C344" s="8" t="s">
        <v>5</v>
      </c>
      <c r="D344" s="11" t="s">
        <v>7870</v>
      </c>
    </row>
    <row r="345" spans="1:4" ht="30">
      <c r="A345" s="5" t="str">
        <f>HYPERLINK("https://www.oit.va.gov/Services/TRM/ToolPage.aspx?tid=16754^","PDF Superhero")</f>
        <v>PDF Superhero</v>
      </c>
      <c r="B345" s="4" t="s">
        <v>8409</v>
      </c>
      <c r="C345" s="8" t="s">
        <v>5</v>
      </c>
      <c r="D345" s="11" t="s">
        <v>1057</v>
      </c>
    </row>
    <row r="346" spans="1:4" ht="30">
      <c r="A346" s="5" t="str">
        <f>HYPERLINK("https://www.oit.va.gov/Services/TRM/ToolPage.aspx?tid=15741^","EZ Utility")</f>
        <v>EZ Utility</v>
      </c>
      <c r="B346" s="4" t="s">
        <v>4115</v>
      </c>
      <c r="C346" s="8" t="s">
        <v>5</v>
      </c>
      <c r="D346" s="11" t="s">
        <v>2558</v>
      </c>
    </row>
    <row r="347" spans="1:4" ht="30">
      <c r="A347" s="5" t="str">
        <f>HYPERLINK("https://www.oit.va.gov/Services/TRM/ToolPage.aspx?tid=7413^","Visustin")</f>
        <v>Visustin</v>
      </c>
      <c r="B347" s="4" t="s">
        <v>3674</v>
      </c>
      <c r="C347" s="8" t="s">
        <v>5</v>
      </c>
      <c r="D347" s="11" t="s">
        <v>3675</v>
      </c>
    </row>
    <row r="348" spans="1:4" ht="30">
      <c r="A348" s="5" t="str">
        <f>HYPERLINK("https://www.oit.va.gov/Services/TRM/ToolPage.aspx?tid=15537^","Project Analyzer")</f>
        <v>Project Analyzer</v>
      </c>
      <c r="B348" s="4" t="s">
        <v>3674</v>
      </c>
      <c r="C348" s="8" t="s">
        <v>5</v>
      </c>
      <c r="D348" s="11" t="s">
        <v>8488</v>
      </c>
    </row>
    <row r="349" spans="1:4" ht="30">
      <c r="A349" s="5" t="str">
        <f>HYPERLINK("https://www.oit.va.gov/Services/TRM/ToolPage.aspx?tid=11161^","in5")</f>
        <v>in5</v>
      </c>
      <c r="B349" s="4" t="s">
        <v>8070</v>
      </c>
      <c r="C349" s="8" t="s">
        <v>5</v>
      </c>
      <c r="D349" s="11" t="s">
        <v>759</v>
      </c>
    </row>
    <row r="350" spans="1:4" ht="30">
      <c r="A350" s="5" t="str">
        <f>HYPERLINK("https://www.oit.va.gov/Services/TRM/ToolPage.aspx?tid=7222^","AKCode Summit")</f>
        <v>AKCode Summit</v>
      </c>
      <c r="B350" s="4" t="s">
        <v>3141</v>
      </c>
      <c r="C350" s="8" t="s">
        <v>5</v>
      </c>
      <c r="D350" s="11" t="s">
        <v>3142</v>
      </c>
    </row>
    <row r="351" spans="1:4" ht="30">
      <c r="A351" s="5" t="str">
        <f>HYPERLINK("https://www.oit.va.gov/Services/TRM/ToolPage.aspx?tid=11524^","NCache")</f>
        <v>NCache</v>
      </c>
      <c r="B351" s="4" t="s">
        <v>6910</v>
      </c>
      <c r="C351" s="8" t="s">
        <v>5</v>
      </c>
      <c r="D351" s="11" t="s">
        <v>6911</v>
      </c>
    </row>
    <row r="352" spans="1:4" ht="30">
      <c r="A352" s="5" t="str">
        <f>HYPERLINK("https://www.oit.va.gov/Services/TRM/ToolPage.aspx?tid=9587^","Safe-Temp2")</f>
        <v>Safe-Temp2</v>
      </c>
      <c r="B352" s="4" t="s">
        <v>8588</v>
      </c>
      <c r="C352" s="8" t="s">
        <v>5</v>
      </c>
      <c r="D352" s="11" t="s">
        <v>5547</v>
      </c>
    </row>
    <row r="353" spans="1:4" ht="30">
      <c r="A353" s="5" t="str">
        <f>HYPERLINK("https://www.oit.va.gov/Services/TRM/ToolPage.aspx?tid=14115^","Battery Monitor Data Manager (BMDM)")</f>
        <v>Battery Monitor Data Manager (BMDM)</v>
      </c>
      <c r="B353" s="4" t="s">
        <v>7538</v>
      </c>
      <c r="C353" s="8" t="s">
        <v>5</v>
      </c>
      <c r="D353" s="11" t="s">
        <v>5720</v>
      </c>
    </row>
    <row r="354" spans="1:4" ht="30">
      <c r="A354" s="5" t="str">
        <f>HYPERLINK("https://www.oit.va.gov/Services/TRM/ToolPage.aspx?tid=9192^","Alcatel-Lucent 4059 Internet Protocol (IP) Attendant Console Application")</f>
        <v>Alcatel-Lucent 4059 Internet Protocol (IP) Attendant Console Application</v>
      </c>
      <c r="B354" s="4" t="s">
        <v>6255</v>
      </c>
      <c r="C354" s="8" t="s">
        <v>5</v>
      </c>
      <c r="D354" s="11" t="s">
        <v>6256</v>
      </c>
    </row>
    <row r="355" spans="1:4" ht="30">
      <c r="A355" s="5" t="str">
        <f>HYPERLINK("https://www.oit.va.gov/Services/TRM/ToolPage.aspx?tid=13315^","Alcohol 120 Percent")</f>
        <v>Alcohol 120 Percent</v>
      </c>
      <c r="B355" s="4" t="s">
        <v>7428</v>
      </c>
      <c r="C355" s="8" t="s">
        <v>5</v>
      </c>
      <c r="D355" s="11" t="s">
        <v>7429</v>
      </c>
    </row>
    <row r="356" spans="1:4" ht="30">
      <c r="A356" s="5" t="str">
        <f>HYPERLINK("https://www.oit.va.gov/Services/TRM/ToolPage.aspx?tid=5837^","SQLTools")</f>
        <v>SQLTools</v>
      </c>
      <c r="B356" s="4" t="s">
        <v>4846</v>
      </c>
      <c r="C356" s="8" t="s">
        <v>5</v>
      </c>
      <c r="D356" s="11" t="s">
        <v>4847</v>
      </c>
    </row>
    <row r="357" spans="1:4" ht="30">
      <c r="A357" s="5" t="str">
        <f>HYPERLINK("https://www.oit.va.gov/Services/TRM/ToolPage.aspx?tid=13513^","Absolute Hypertext Markup Language (HTML) Compressor")</f>
        <v>Absolute Hypertext Markup Language (HTML) Compressor</v>
      </c>
      <c r="B357" s="4" t="s">
        <v>7367</v>
      </c>
      <c r="C357" s="8" t="s">
        <v>5</v>
      </c>
      <c r="D357" s="11" t="s">
        <v>7368</v>
      </c>
    </row>
    <row r="358" spans="1:4" ht="30">
      <c r="A358" s="5" t="str">
        <f>HYPERLINK("https://www.oit.va.gov/Services/TRM/ToolPage.aspx?tid=13331^","WebLog Expert")</f>
        <v>WebLog Expert</v>
      </c>
      <c r="B358" s="4" t="s">
        <v>7367</v>
      </c>
      <c r="C358" s="8" t="s">
        <v>5</v>
      </c>
      <c r="D358" s="11" t="s">
        <v>8917</v>
      </c>
    </row>
    <row r="359" spans="1:4" ht="30">
      <c r="A359" s="5" t="str">
        <f>HYPERLINK("https://www.oit.va.gov/Services/TRM/ToolPage.aspx?tid=10000^","Alertus Override Client")</f>
        <v>Alertus Override Client</v>
      </c>
      <c r="B359" s="4" t="s">
        <v>3723</v>
      </c>
      <c r="C359" s="8" t="s">
        <v>5</v>
      </c>
      <c r="D359" s="11" t="s">
        <v>2647</v>
      </c>
    </row>
    <row r="360" spans="1:4" ht="30">
      <c r="A360" s="5" t="str">
        <f>HYPERLINK("https://www.oit.va.gov/Services/TRM/ToolPage.aspx?tid=10016^","Alertus Desktop Activator")</f>
        <v>Alertus Desktop Activator</v>
      </c>
      <c r="B360" s="4" t="s">
        <v>3723</v>
      </c>
      <c r="C360" s="8" t="s">
        <v>5</v>
      </c>
      <c r="D360" s="11" t="s">
        <v>2397</v>
      </c>
    </row>
    <row r="361" spans="1:4" ht="30">
      <c r="A361" s="5" t="str">
        <f>HYPERLINK("https://www.oit.va.gov/Services/TRM/ToolPage.aspx?tid=9773^","Alertus Desktop")</f>
        <v>Alertus Desktop</v>
      </c>
      <c r="B361" s="4" t="s">
        <v>5046</v>
      </c>
      <c r="C361" s="8" t="s">
        <v>5</v>
      </c>
      <c r="D361" s="11" t="s">
        <v>5044</v>
      </c>
    </row>
    <row r="362" spans="1:4" ht="30">
      <c r="A362" s="5" t="str">
        <f>HYPERLINK("https://www.oit.va.gov/Services/TRM/ToolPage.aspx?tid=9241^","Alertus Server")</f>
        <v>Alertus Server</v>
      </c>
      <c r="B362" s="4" t="s">
        <v>5046</v>
      </c>
      <c r="C362" s="8" t="s">
        <v>5</v>
      </c>
      <c r="D362" s="11" t="s">
        <v>857</v>
      </c>
    </row>
    <row r="363" spans="1:4" ht="30">
      <c r="A363" s="5" t="str">
        <f>HYPERLINK("https://www.oit.va.gov/Services/TRM/ToolPage.aspx?tid=13412^","DVDStyler (Digital Versatile Disc)")</f>
        <v>DVDStyler (Digital Versatile Disc)</v>
      </c>
      <c r="B363" s="4" t="s">
        <v>7816</v>
      </c>
      <c r="C363" s="8" t="s">
        <v>5</v>
      </c>
      <c r="D363" s="11" t="s">
        <v>1228</v>
      </c>
    </row>
    <row r="364" spans="1:4" ht="30">
      <c r="A364" s="5" t="str">
        <f>HYPERLINK("https://www.oit.va.gov/Services/TRM/ToolPage.aspx?tid=13548^","AC3Filter")</f>
        <v>AC3Filter</v>
      </c>
      <c r="B364" s="4" t="s">
        <v>7370</v>
      </c>
      <c r="C364" s="8" t="s">
        <v>5</v>
      </c>
      <c r="D364" s="11" t="s">
        <v>7371</v>
      </c>
    </row>
    <row r="365" spans="1:4" ht="30">
      <c r="A365" s="5" t="str">
        <f>HYPERLINK("https://www.oit.va.gov/Services/TRM/ToolPage.aspx?tid=11251^","Keepalived")</f>
        <v>Keepalived</v>
      </c>
      <c r="B365" s="4" t="s">
        <v>6760</v>
      </c>
      <c r="C365" s="8" t="s">
        <v>5</v>
      </c>
      <c r="D365" s="11" t="s">
        <v>4878</v>
      </c>
    </row>
    <row r="366" spans="1:4" ht="30">
      <c r="A366" s="5" t="str">
        <f>HYPERLINK("https://www.oit.va.gov/Services/TRM/ToolPage.aspx?tid=10869^","Process Manager 2 (PM2)")</f>
        <v>Process Manager 2 (PM2)</v>
      </c>
      <c r="B366" s="4" t="s">
        <v>5441</v>
      </c>
      <c r="C366" s="8" t="s">
        <v>5</v>
      </c>
      <c r="D366" s="11" t="s">
        <v>948</v>
      </c>
    </row>
    <row r="367" spans="1:4" ht="30">
      <c r="A367" s="5" t="str">
        <f>HYPERLINK("https://www.oit.va.gov/Services/TRM/ToolPage.aspx?tid=8408^","Bug Shooting")</f>
        <v>Bug Shooting</v>
      </c>
      <c r="B367" s="4" t="s">
        <v>7583</v>
      </c>
      <c r="C367" s="8" t="s">
        <v>5</v>
      </c>
      <c r="D367" s="11" t="s">
        <v>3214</v>
      </c>
    </row>
    <row r="368" spans="1:4" ht="30">
      <c r="A368" s="5" t="str">
        <f>HYPERLINK("https://www.oit.va.gov/Services/TRM/ToolPage.aspx?tid=7243^","Alexsys Team")</f>
        <v>Alexsys Team</v>
      </c>
      <c r="B368" s="4" t="s">
        <v>3724</v>
      </c>
      <c r="C368" s="8" t="s">
        <v>5</v>
      </c>
      <c r="D368" s="11" t="s">
        <v>437</v>
      </c>
    </row>
    <row r="369" spans="1:4" ht="30">
      <c r="A369" s="5" t="str">
        <f>HYPERLINK("https://www.oit.va.gov/Services/TRM/ToolPage.aspx?tid=6110^","PrintKey-Pro")</f>
        <v>PrintKey-Pro</v>
      </c>
      <c r="B369" s="4" t="s">
        <v>8476</v>
      </c>
      <c r="C369" s="8" t="s">
        <v>5</v>
      </c>
      <c r="D369" s="11" t="s">
        <v>8477</v>
      </c>
    </row>
    <row r="370" spans="1:4" ht="30">
      <c r="A370" s="5" t="str">
        <f>HYPERLINK("https://www.oit.va.gov/Services/TRM/ToolPage.aspx?tid=6455^","Alfresco Community Edition")</f>
        <v>Alfresco Community Edition</v>
      </c>
      <c r="B370" s="4" t="s">
        <v>556</v>
      </c>
      <c r="C370" s="8" t="s">
        <v>5</v>
      </c>
      <c r="D370" s="11" t="s">
        <v>557</v>
      </c>
    </row>
    <row r="371" spans="1:4" ht="30">
      <c r="A371" s="5" t="str">
        <f>HYPERLINK("https://www.oit.va.gov/Services/TRM/ToolPage.aspx?tid=6892^","Alfresco One")</f>
        <v>Alfresco One</v>
      </c>
      <c r="B371" s="4" t="s">
        <v>556</v>
      </c>
      <c r="C371" s="8" t="s">
        <v>5</v>
      </c>
      <c r="D371" s="11" t="s">
        <v>3143</v>
      </c>
    </row>
    <row r="372" spans="1:4" ht="30">
      <c r="A372" s="5" t="str">
        <f>HYPERLINK("https://www.oit.va.gov/Services/TRM/ToolPage.aspx?tid=7469^","Activiti")</f>
        <v>Activiti</v>
      </c>
      <c r="B372" s="4" t="s">
        <v>556</v>
      </c>
      <c r="C372" s="8" t="s">
        <v>5</v>
      </c>
      <c r="D372" s="11" t="s">
        <v>5029</v>
      </c>
    </row>
    <row r="373" spans="1:4" ht="30">
      <c r="A373" s="5" t="str">
        <f>HYPERLINK("https://www.oit.va.gov/Services/TRM/ToolPage.aspx?tid=13414^","Algo Client Call Recorder")</f>
        <v>Algo Client Call Recorder</v>
      </c>
      <c r="B373" s="4" t="s">
        <v>7430</v>
      </c>
      <c r="C373" s="8" t="s">
        <v>5</v>
      </c>
      <c r="D373" s="11" t="s">
        <v>2356</v>
      </c>
    </row>
    <row r="374" spans="1:4" ht="30">
      <c r="A374" s="5" t="str">
        <f>HYPERLINK("https://www.oit.va.gov/Services/TRM/StandardPage.aspx?tid=14913^","WEB-DAV Linux File System (Davfs2)")</f>
        <v>WEB-DAV Linux File System (Davfs2)</v>
      </c>
      <c r="B374" s="4" t="s">
        <v>7313</v>
      </c>
      <c r="C374" s="8" t="s">
        <v>5</v>
      </c>
      <c r="D374" s="11" t="s">
        <v>5074</v>
      </c>
    </row>
    <row r="375" spans="1:4" ht="30">
      <c r="A375" s="5" t="str">
        <f>HYPERLINK("https://www.oit.va.gov/Services/TRM/ToolPage.aspx?tid=13274^","Image Doctor")</f>
        <v>Image Doctor</v>
      </c>
      <c r="B375" s="4" t="s">
        <v>8058</v>
      </c>
      <c r="C375" s="8" t="s">
        <v>5</v>
      </c>
      <c r="D375" s="11" t="s">
        <v>8059</v>
      </c>
    </row>
    <row r="376" spans="1:4" ht="30">
      <c r="A376" s="5" t="str">
        <f>HYPERLINK("https://www.oit.va.gov/Services/TRM/ToolPage.aspx?tid=14863^","Gilian Connect")</f>
        <v>Gilian Connect</v>
      </c>
      <c r="B376" s="4" t="s">
        <v>5827</v>
      </c>
      <c r="C376" s="8" t="s">
        <v>5</v>
      </c>
      <c r="D376" s="11" t="s">
        <v>1698</v>
      </c>
    </row>
    <row r="377" spans="1:4" ht="30">
      <c r="A377" s="5" t="str">
        <f>HYPERLINK("https://www.oit.va.gov/Services/TRM/ToolPage.aspx?tid=9517^","Procedural Language/Structured Query Language (PL/SQL) Developer")</f>
        <v>Procedural Language/Structured Query Language (PL/SQL) Developer</v>
      </c>
      <c r="B377" s="4" t="s">
        <v>4655</v>
      </c>
      <c r="C377" s="8" t="s">
        <v>5</v>
      </c>
      <c r="D377" s="11" t="s">
        <v>1414</v>
      </c>
    </row>
    <row r="378" spans="1:4" ht="30">
      <c r="A378" s="5" t="str">
        <f>HYPERLINK("https://www.oit.va.gov/Services/TRM/ToolPage.aspx?tid=11553^","E3 Patient Engagement Solutions")</f>
        <v>E3 Patient Engagement Solutions</v>
      </c>
      <c r="B378" s="4" t="s">
        <v>5159</v>
      </c>
      <c r="C378" s="8" t="s">
        <v>5</v>
      </c>
      <c r="D378" s="11" t="s">
        <v>5160</v>
      </c>
    </row>
    <row r="379" spans="1:4" ht="30">
      <c r="A379" s="5" t="str">
        <f>HYPERLINK("https://www.oit.va.gov/Services/TRM/ToolPage.aspx?tid=6635^","Gretl (GNU Regression, Econometrics, and Time-series Library)")</f>
        <v>Gretl (GNU Regression, Econometrics, and Time-series Library)</v>
      </c>
      <c r="B379" s="4" t="s">
        <v>2135</v>
      </c>
      <c r="C379" s="8" t="s">
        <v>5</v>
      </c>
      <c r="D379" s="11" t="s">
        <v>2136</v>
      </c>
    </row>
    <row r="380" spans="1:4" ht="30">
      <c r="A380" s="5" t="str">
        <f>HYPERLINK("https://www.oit.va.gov/Services/TRM/ToolPage.aspx?tid=7244^","Alloy Discovery")</f>
        <v>Alloy Discovery</v>
      </c>
      <c r="B380" s="4" t="s">
        <v>5047</v>
      </c>
      <c r="C380" s="8" t="s">
        <v>5</v>
      </c>
      <c r="D380" s="11" t="s">
        <v>5048</v>
      </c>
    </row>
    <row r="381" spans="1:4" ht="30">
      <c r="A381" s="5" t="str">
        <f>HYPERLINK("https://www.oit.va.gov/Services/TRM/ToolPage.aspx?tid=13556^","AllConverter Pro")</f>
        <v>AllConverter Pro</v>
      </c>
      <c r="B381" s="4" t="s">
        <v>7431</v>
      </c>
      <c r="C381" s="8" t="s">
        <v>5</v>
      </c>
      <c r="D381" s="11" t="s">
        <v>7417</v>
      </c>
    </row>
    <row r="382" spans="1:4" ht="30">
      <c r="A382" s="5" t="str">
        <f>HYPERLINK("https://www.oit.va.gov/Services/TRM/ToolPage.aspx?tid=13479^","ALLMediaServer")</f>
        <v>ALLMediaServer</v>
      </c>
      <c r="B382" s="4" t="s">
        <v>7431</v>
      </c>
      <c r="C382" s="8" t="s">
        <v>5</v>
      </c>
      <c r="D382" s="11" t="s">
        <v>6289</v>
      </c>
    </row>
    <row r="383" spans="1:4" ht="30">
      <c r="A383" s="5" t="str">
        <f>HYPERLINK("https://www.oit.va.gov/Services/TRM/ToolPage.aspx?tid=13316^","ALLPlayer")</f>
        <v>ALLPlayer</v>
      </c>
      <c r="B383" s="4" t="s">
        <v>7431</v>
      </c>
      <c r="C383" s="8" t="s">
        <v>5</v>
      </c>
      <c r="D383" s="11" t="s">
        <v>7432</v>
      </c>
    </row>
    <row r="384" spans="1:4" ht="30">
      <c r="A384" s="5" t="str">
        <f>HYPERLINK("https://www.oit.va.gov/Services/TRM/ToolPage.aspx?tid=9317^","PainCAS (Clinical Assessment System)")</f>
        <v>PainCAS (Clinical Assessment System)</v>
      </c>
      <c r="B384" s="4" t="s">
        <v>5407</v>
      </c>
      <c r="C384" s="8" t="s">
        <v>5</v>
      </c>
      <c r="D384" s="11" t="s">
        <v>5408</v>
      </c>
    </row>
    <row r="385" spans="1:4" ht="30">
      <c r="A385" s="5" t="str">
        <f>HYPERLINK("https://www.oit.va.gov/Services/TRM/ToolPage.aspx?tid=7543^","Allscripts Sunrise Decision Support")</f>
        <v>Allscripts Sunrise Decision Support</v>
      </c>
      <c r="B385" s="4" t="s">
        <v>5407</v>
      </c>
      <c r="C385" s="8" t="s">
        <v>5</v>
      </c>
      <c r="D385" s="11" t="s">
        <v>5625</v>
      </c>
    </row>
    <row r="386" spans="1:4" ht="30">
      <c r="A386" s="5" t="str">
        <f>HYPERLINK("https://www.oit.va.gov/Services/TRM/ToolPage.aspx?tid=6531^","CommonLook Clarity")</f>
        <v>CommonLook Clarity</v>
      </c>
      <c r="B386" s="4" t="s">
        <v>2476</v>
      </c>
      <c r="C386" s="8" t="s">
        <v>5</v>
      </c>
      <c r="D386" s="11" t="s">
        <v>211</v>
      </c>
    </row>
    <row r="387" spans="1:4" ht="30">
      <c r="A387" s="5" t="str">
        <f>HYPERLINK("https://www.oit.va.gov/Services/TRM/ToolPage.aspx?tid=7038^","ANSIllary SDK")</f>
        <v>ANSIllary SDK</v>
      </c>
      <c r="B387" s="4" t="s">
        <v>7447</v>
      </c>
      <c r="C387" s="8" t="s">
        <v>5</v>
      </c>
      <c r="D387" s="11" t="s">
        <v>7436</v>
      </c>
    </row>
    <row r="388" spans="1:4" ht="30">
      <c r="A388" s="5" t="str">
        <f>HYPERLINK("https://www.oit.va.gov/Services/TRM/ToolPage.aspx?tid=16851^","Power BI Connector for ServiceNow")</f>
        <v>Power BI Connector for ServiceNow</v>
      </c>
      <c r="B388" s="4" t="s">
        <v>4625</v>
      </c>
      <c r="C388" s="8" t="s">
        <v>5</v>
      </c>
      <c r="D388" s="11" t="s">
        <v>88</v>
      </c>
    </row>
    <row r="389" spans="1:4" ht="30">
      <c r="A389" s="5" t="str">
        <f>HYPERLINK("https://www.oit.va.gov/Services/TRM/ToolPage.aspx?tid=10404^","AlphaCard ID Suite")</f>
        <v>AlphaCard ID Suite</v>
      </c>
      <c r="B389" s="4" t="s">
        <v>3728</v>
      </c>
      <c r="C389" s="8" t="s">
        <v>5</v>
      </c>
      <c r="D389" s="11" t="s">
        <v>3729</v>
      </c>
    </row>
    <row r="390" spans="1:4" ht="30">
      <c r="A390" s="5" t="str">
        <f>HYPERLINK("https://www.oit.va.gov/Services/TRM/ToolPage.aspx?tid=13495^","DiskWarrior")</f>
        <v>DiskWarrior</v>
      </c>
      <c r="B390" s="4" t="s">
        <v>7778</v>
      </c>
      <c r="C390" s="8" t="s">
        <v>5</v>
      </c>
      <c r="D390" s="11" t="s">
        <v>1228</v>
      </c>
    </row>
    <row r="391" spans="1:4" ht="30">
      <c r="A391" s="5" t="str">
        <f>HYPERLINK("https://www.oit.va.gov/Services/TRM/ToolPage.aspx?tid=8409^","Altair Monarch Server")</f>
        <v>Altair Monarch Server</v>
      </c>
      <c r="B391" s="4" t="s">
        <v>1288</v>
      </c>
      <c r="C391" s="8" t="s">
        <v>5</v>
      </c>
      <c r="D391" s="11" t="s">
        <v>1289</v>
      </c>
    </row>
    <row r="392" spans="1:4" ht="30">
      <c r="A392" s="5" t="str">
        <f>HYPERLINK("https://www.oit.va.gov/Services/TRM/ToolPage.aspx?tid=13713^","Panopticon Designer")</f>
        <v>Panopticon Designer</v>
      </c>
      <c r="B392" s="4" t="s">
        <v>1288</v>
      </c>
      <c r="C392" s="8" t="s">
        <v>5</v>
      </c>
      <c r="D392" s="11" t="s">
        <v>6986</v>
      </c>
    </row>
    <row r="393" spans="1:4" ht="30">
      <c r="A393" s="5" t="str">
        <f>HYPERLINK("https://www.oit.va.gov/Services/TRM/ToolPage.aspx?tid=6063^","Altair Monarch")</f>
        <v>Altair Monarch</v>
      </c>
      <c r="B393" s="4" t="s">
        <v>3730</v>
      </c>
      <c r="C393" s="8" t="s">
        <v>5</v>
      </c>
      <c r="D393" s="11" t="s">
        <v>3731</v>
      </c>
    </row>
    <row r="394" spans="1:4" ht="30">
      <c r="A394" s="5" t="str">
        <f>HYPERLINK("https://www.oit.va.gov/Services/TRM/ToolPage.aspx?tid=15679^","Altamont Connectivity Platform")</f>
        <v>Altamont Connectivity Platform</v>
      </c>
      <c r="B394" s="4" t="s">
        <v>5629</v>
      </c>
      <c r="C394" s="8" t="s">
        <v>5</v>
      </c>
      <c r="D394" s="11" t="s">
        <v>5630</v>
      </c>
    </row>
    <row r="395" spans="1:4" ht="30">
      <c r="A395" s="5" t="str">
        <f>HYPERLINK("https://www.oit.va.gov/Services/TRM/ToolPage.aspx?tid=13616^","WampServer")</f>
        <v>WampServer</v>
      </c>
      <c r="B395" s="4" t="s">
        <v>8901</v>
      </c>
      <c r="C395" s="8" t="s">
        <v>5</v>
      </c>
      <c r="D395" s="11" t="s">
        <v>8902</v>
      </c>
    </row>
    <row r="396" spans="1:4" ht="30">
      <c r="A396" s="5" t="str">
        <f>HYPERLINK("https://www.oit.va.gov/Services/TRM/ToolPage.aspx?tid=11001^","Alteryx Designer")</f>
        <v>Alteryx Designer</v>
      </c>
      <c r="B396" s="4" t="s">
        <v>558</v>
      </c>
      <c r="C396" s="8" t="s">
        <v>5</v>
      </c>
      <c r="D396" s="11" t="s">
        <v>559</v>
      </c>
    </row>
    <row r="397" spans="1:4" ht="30">
      <c r="A397" s="5" t="str">
        <f>HYPERLINK("https://www.oit.va.gov/Services/TRM/ToolPage.aspx?tid=16236^","Alteryx Auto Insights")</f>
        <v>Alteryx Auto Insights</v>
      </c>
      <c r="B397" s="4" t="s">
        <v>558</v>
      </c>
      <c r="C397" s="8" t="s">
        <v>5</v>
      </c>
      <c r="D397" s="11" t="s">
        <v>1290</v>
      </c>
    </row>
    <row r="398" spans="1:4" ht="30">
      <c r="A398" s="5" t="str">
        <f>HYPERLINK("https://www.oit.va.gov/Services/TRM/ToolPage.aspx?tid=15908^","Alteryx Server")</f>
        <v>Alteryx Server</v>
      </c>
      <c r="B398" s="4" t="s">
        <v>558</v>
      </c>
      <c r="C398" s="8" t="s">
        <v>5</v>
      </c>
      <c r="D398" s="11" t="s">
        <v>1291</v>
      </c>
    </row>
    <row r="399" spans="1:4" ht="30">
      <c r="A399" s="5" t="str">
        <f>HYPERLINK("https://www.oit.va.gov/Services/TRM/ToolPage.aspx?tid=15447^","Trifacta Wrangler")</f>
        <v>Trifacta Wrangler</v>
      </c>
      <c r="B399" s="4" t="s">
        <v>558</v>
      </c>
      <c r="C399" s="8" t="s">
        <v>5</v>
      </c>
      <c r="D399" s="11" t="s">
        <v>4932</v>
      </c>
    </row>
    <row r="400" spans="1:4" ht="30">
      <c r="A400" s="5" t="str">
        <f>HYPERLINK("https://www.oit.va.gov/Services/TRM/ToolPage.aspx?tid=5554^","Altium Designer")</f>
        <v>Altium Designer</v>
      </c>
      <c r="B400" s="4" t="s">
        <v>2365</v>
      </c>
      <c r="C400" s="8" t="s">
        <v>5</v>
      </c>
      <c r="D400" s="11" t="s">
        <v>2366</v>
      </c>
    </row>
    <row r="401" spans="1:4" ht="30">
      <c r="A401" s="5" t="str">
        <f>HYPERLINK("https://www.oit.va.gov/Services/TRM/ToolPage.aspx?tid=13590^","MDaemon Messaging Server")</f>
        <v>MDaemon Messaging Server</v>
      </c>
      <c r="B401" s="4" t="s">
        <v>6836</v>
      </c>
      <c r="C401" s="8" t="s">
        <v>5</v>
      </c>
      <c r="D401" s="11" t="s">
        <v>6837</v>
      </c>
    </row>
    <row r="402" spans="1:4" ht="30">
      <c r="A402" s="5" t="str">
        <f>HYPERLINK("https://www.oit.va.gov/Services/TRM/ToolPage.aspx?tid=6952^","DatabaseSpy")</f>
        <v>DatabaseSpy</v>
      </c>
      <c r="B402" s="4" t="s">
        <v>1485</v>
      </c>
      <c r="C402" s="8" t="s">
        <v>5</v>
      </c>
      <c r="D402" s="11" t="s">
        <v>940</v>
      </c>
    </row>
    <row r="403" spans="1:4" ht="30">
      <c r="A403" s="5" t="str">
        <f>HYPERLINK("https://www.oit.va.gov/Services/TRM/ToolPage.aspx?tid=7002^","SchemaAgent")</f>
        <v>SchemaAgent</v>
      </c>
      <c r="B403" s="4" t="s">
        <v>1485</v>
      </c>
      <c r="C403" s="8" t="s">
        <v>5</v>
      </c>
      <c r="D403" s="11" t="s">
        <v>1915</v>
      </c>
    </row>
    <row r="404" spans="1:4" ht="30">
      <c r="A404" s="5" t="str">
        <f>HYPERLINK("https://www.oit.va.gov/Services/TRM/ToolPage.aspx?tid=5093^","Extensible Markup Language (XML)Spy")</f>
        <v>Extensible Markup Language (XML)Spy</v>
      </c>
      <c r="B404" s="4" t="s">
        <v>1485</v>
      </c>
      <c r="C404" s="8" t="s">
        <v>5</v>
      </c>
      <c r="D404" s="11" t="s">
        <v>2575</v>
      </c>
    </row>
    <row r="405" spans="1:4" ht="30">
      <c r="A405" s="5" t="str">
        <f>HYPERLINK("https://www.oit.va.gov/Services/TRM/ToolPage.aspx?tid=6978^","MapForce Graphical Data Mapping, Conversion, and Integration Tool")</f>
        <v>MapForce Graphical Data Mapping, Conversion, and Integration Tool</v>
      </c>
      <c r="B405" s="4" t="s">
        <v>1485</v>
      </c>
      <c r="C405" s="8" t="s">
        <v>5</v>
      </c>
      <c r="D405" s="11" t="s">
        <v>2747</v>
      </c>
    </row>
    <row r="406" spans="1:4" ht="30">
      <c r="A406" s="5" t="str">
        <f>HYPERLINK("https://www.oit.va.gov/Services/TRM/ToolPage.aspx?tid=6618^","UModel")</f>
        <v>UModel</v>
      </c>
      <c r="B406" s="4" t="s">
        <v>1485</v>
      </c>
      <c r="C406" s="8" t="s">
        <v>5</v>
      </c>
      <c r="D406" s="11" t="s">
        <v>3044</v>
      </c>
    </row>
    <row r="407" spans="1:4" ht="30">
      <c r="A407" s="5" t="str">
        <f>HYPERLINK("https://www.oit.va.gov/Services/TRM/ToolPage.aspx?tid=6848^","DiffDog")</f>
        <v>DiffDog</v>
      </c>
      <c r="B407" s="4" t="s">
        <v>1485</v>
      </c>
      <c r="C407" s="8" t="s">
        <v>5</v>
      </c>
      <c r="D407" s="11" t="s">
        <v>4015</v>
      </c>
    </row>
    <row r="408" spans="1:4" ht="30">
      <c r="A408" s="5" t="str">
        <f>HYPERLINK("https://www.oit.va.gov/Services/TRM/ToolPage.aspx?tid=7088^","StyleVision")</f>
        <v>StyleVision</v>
      </c>
      <c r="B408" s="4" t="s">
        <v>1485</v>
      </c>
      <c r="C408" s="8" t="s">
        <v>5</v>
      </c>
      <c r="D408" s="11" t="s">
        <v>4872</v>
      </c>
    </row>
    <row r="409" spans="1:4" ht="30">
      <c r="A409" s="5" t="str">
        <f>HYPERLINK("https://www.oit.va.gov/Services/TRM/ToolPage.aspx?tid=7916^","Alvaria Prophecy")</f>
        <v>Alvaria Prophecy</v>
      </c>
      <c r="B409" s="4" t="s">
        <v>1292</v>
      </c>
      <c r="C409" s="8" t="s">
        <v>5</v>
      </c>
      <c r="D409" s="11" t="s">
        <v>923</v>
      </c>
    </row>
    <row r="410" spans="1:4" ht="30">
      <c r="A410" s="5" t="str">
        <f>HYPERLINK("https://www.oit.va.gov/Services/TRM/ToolPage.aspx?tid=8435^","Alvaria Customer Experience Platform (CXP)")</f>
        <v>Alvaria Customer Experience Platform (CXP)</v>
      </c>
      <c r="B410" s="4" t="s">
        <v>1292</v>
      </c>
      <c r="C410" s="8" t="s">
        <v>5</v>
      </c>
      <c r="D410" s="11" t="s">
        <v>2367</v>
      </c>
    </row>
    <row r="411" spans="1:4" ht="30">
      <c r="A411" s="5" t="str">
        <f>HYPERLINK("https://www.oit.va.gov/Services/TRM/StandardPage.aspx?tid=5228^","Resource-Based Relative Value Scale (RBRVS)")</f>
        <v>Resource-Based Relative Value Scale (RBRVS)</v>
      </c>
      <c r="B411" s="4" t="s">
        <v>6041</v>
      </c>
      <c r="C411" s="8" t="s">
        <v>5</v>
      </c>
      <c r="D411" s="11" t="s">
        <v>6042</v>
      </c>
    </row>
    <row r="412" spans="1:4" ht="30">
      <c r="A412" s="5" t="str">
        <f>HYPERLINK("https://www.oit.va.gov/Services/TRM/StandardPage.aspx?tid=5212^","Current Procedural Terminology (CPT)")</f>
        <v>Current Procedural Terminology (CPT)</v>
      </c>
      <c r="B412" s="4" t="s">
        <v>6041</v>
      </c>
      <c r="C412" s="8" t="s">
        <v>5</v>
      </c>
      <c r="D412" s="11" t="s">
        <v>2060</v>
      </c>
    </row>
    <row r="413" spans="1:4" ht="30">
      <c r="A413" s="5" t="str">
        <f>HYPERLINK("https://www.oit.va.gov/Services/TRM/StandardPage.aspx?tid=5231^","United States Adopted Names (USAN)")</f>
        <v>United States Adopted Names (USAN)</v>
      </c>
      <c r="B413" s="4" t="s">
        <v>6041</v>
      </c>
      <c r="C413" s="8" t="s">
        <v>5</v>
      </c>
      <c r="D413" s="11" t="s">
        <v>8301</v>
      </c>
    </row>
    <row r="414" spans="1:4" ht="30">
      <c r="A414" s="5" t="str">
        <f>HYPERLINK("https://www.oit.va.gov/Services/TRM/StandardPage.aspx?tid=6345^","Health Care Provider Taxonomy (HPT)")</f>
        <v>Health Care Provider Taxonomy (HPT)</v>
      </c>
      <c r="B414" s="4" t="s">
        <v>8015</v>
      </c>
      <c r="C414" s="8" t="s">
        <v>5</v>
      </c>
      <c r="D414" s="11" t="s">
        <v>1247</v>
      </c>
    </row>
    <row r="415" spans="1:4" ht="30">
      <c r="A415" s="5" t="str">
        <f>HYPERLINK("https://www.oit.va.gov/Services/TRM/ToolPage.aspx?tid=13945^","iParc Professional")</f>
        <v>iParc Professional</v>
      </c>
      <c r="B415" s="4" t="s">
        <v>2676</v>
      </c>
      <c r="C415" s="8" t="s">
        <v>5</v>
      </c>
      <c r="D415" s="11" t="s">
        <v>2677</v>
      </c>
    </row>
    <row r="416" spans="1:4" ht="30">
      <c r="A416" s="5" t="str">
        <f>HYPERLINK("https://www.oit.va.gov/Services/TRM/ToolPage.aspx?tid=14525^","MiParc for Pro+")</f>
        <v>MiParc for Pro+</v>
      </c>
      <c r="B416" s="4" t="s">
        <v>2676</v>
      </c>
      <c r="C416" s="8" t="s">
        <v>5</v>
      </c>
      <c r="D416" s="11" t="s">
        <v>6878</v>
      </c>
    </row>
    <row r="417" spans="1:4" ht="30">
      <c r="A417" s="5" t="str">
        <f>HYPERLINK("https://www.oit.va.gov/Services/TRM/ToolPage.aspx?tid=14475^","Amazon Web Services (AWS) Tools for Windows PowerShell")</f>
        <v>Amazon Web Services (AWS) Tools for Windows PowerShell</v>
      </c>
      <c r="B417" s="4" t="s">
        <v>564</v>
      </c>
      <c r="C417" s="8" t="s">
        <v>5</v>
      </c>
      <c r="D417" s="11" t="s">
        <v>565</v>
      </c>
    </row>
    <row r="418" spans="1:4" ht="30">
      <c r="A418" s="5" t="str">
        <f>HYPERLINK("https://www.oit.va.gov/Services/TRM/ToolPage.aspx?tid=16299^","Amazon Inspector")</f>
        <v>Amazon Inspector</v>
      </c>
      <c r="B418" s="4" t="s">
        <v>564</v>
      </c>
      <c r="C418" s="8" t="s">
        <v>5</v>
      </c>
      <c r="D418" s="11" t="s">
        <v>1293</v>
      </c>
    </row>
    <row r="419" spans="1:4" ht="30">
      <c r="A419" s="5" t="str">
        <f>HYPERLINK("https://www.oit.va.gov/Services/TRM/ToolPage.aspx?tid=13704^","Amazon Chime")</f>
        <v>Amazon Chime</v>
      </c>
      <c r="B419" s="4" t="s">
        <v>564</v>
      </c>
      <c r="C419" s="8" t="s">
        <v>5</v>
      </c>
      <c r="D419" s="11" t="s">
        <v>3732</v>
      </c>
    </row>
    <row r="420" spans="1:4" ht="30">
      <c r="A420" s="5" t="str">
        <f>HYPERLINK("https://www.oit.va.gov/Services/TRM/ToolPage.aspx?tid=13514^","Amazon WorkSpaces (AWS)")</f>
        <v>Amazon WorkSpaces (AWS)</v>
      </c>
      <c r="B420" s="4" t="s">
        <v>564</v>
      </c>
      <c r="C420" s="8" t="s">
        <v>5</v>
      </c>
      <c r="D420" s="11" t="s">
        <v>973</v>
      </c>
    </row>
    <row r="421" spans="1:4" ht="30">
      <c r="A421" s="5" t="str">
        <f>HYPERLINK("https://www.oit.va.gov/Services/TRM/ToolPage.aspx?tid=16124^","Karpenter")</f>
        <v>Karpenter</v>
      </c>
      <c r="B421" s="4" t="s">
        <v>564</v>
      </c>
      <c r="C421" s="8" t="s">
        <v>5</v>
      </c>
      <c r="D421" s="11" t="s">
        <v>2447</v>
      </c>
    </row>
    <row r="422" spans="1:4" ht="30">
      <c r="A422" s="5" t="str">
        <f>HYPERLINK("https://www.oit.va.gov/Services/TRM/ToolPage.aspx?tid=16377^","NICE Desktop Cloud Visualization (DCV) Server")</f>
        <v>NICE Desktop Cloud Visualization (DCV) Server</v>
      </c>
      <c r="B422" s="4" t="s">
        <v>564</v>
      </c>
      <c r="C422" s="8" t="s">
        <v>5</v>
      </c>
      <c r="D422" s="11" t="s">
        <v>1772</v>
      </c>
    </row>
    <row r="423" spans="1:4" ht="30">
      <c r="A423" s="5" t="str">
        <f>HYPERLINK("https://www.oit.va.gov/Services/TRM/ToolPage.aspx?tid=5641^","Kindle")</f>
        <v>Kindle</v>
      </c>
      <c r="B423" s="4" t="s">
        <v>564</v>
      </c>
      <c r="C423" s="8" t="s">
        <v>5</v>
      </c>
      <c r="D423" s="11" t="s">
        <v>4814</v>
      </c>
    </row>
    <row r="424" spans="1:4" ht="30">
      <c r="A424" s="5" t="str">
        <f>HYPERLINK("https://www.oit.va.gov/Services/TRM/ToolPage.aspx?tid=16317^","Amazon Cloudwatch")</f>
        <v>Amazon Cloudwatch</v>
      </c>
      <c r="B424" s="4" t="s">
        <v>564</v>
      </c>
      <c r="C424" s="8" t="s">
        <v>5</v>
      </c>
      <c r="D424" s="11" t="s">
        <v>282</v>
      </c>
    </row>
    <row r="425" spans="1:4" ht="30">
      <c r="A425" s="5" t="str">
        <f>HYPERLINK("https://www.oit.va.gov/Services/TRM/ToolPage.aspx?tid=14918^","Amazon Systems Manager (SSM) Agent")</f>
        <v>Amazon Systems Manager (SSM) Agent</v>
      </c>
      <c r="B425" s="4" t="s">
        <v>564</v>
      </c>
      <c r="C425" s="8" t="s">
        <v>5</v>
      </c>
      <c r="D425" s="11" t="s">
        <v>5724</v>
      </c>
    </row>
    <row r="426" spans="1:4" ht="30">
      <c r="A426" s="5" t="str">
        <f>HYPERLINK("https://www.oit.va.gov/Services/TRM/ToolPage.aspx?tid=16540^","Amazon Web Services (AWS) Cloudformation")</f>
        <v>Amazon Web Services (AWS) Cloudformation</v>
      </c>
      <c r="B426" s="4" t="s">
        <v>564</v>
      </c>
      <c r="C426" s="8" t="s">
        <v>5</v>
      </c>
      <c r="D426" s="11" t="s">
        <v>3525</v>
      </c>
    </row>
    <row r="427" spans="1:4" ht="30">
      <c r="A427" s="5" t="str">
        <f>HYPERLINK("https://www.oit.va.gov/Services/TRM/ToolPage.aspx?tid=14923^","Amazon Assistant")</f>
        <v>Amazon Assistant</v>
      </c>
      <c r="B427" s="4" t="s">
        <v>564</v>
      </c>
      <c r="C427" s="8" t="s">
        <v>5</v>
      </c>
      <c r="D427" s="11" t="s">
        <v>7287</v>
      </c>
    </row>
    <row r="428" spans="1:4" ht="30">
      <c r="A428" s="5" t="str">
        <f>HYPERLINK("https://www.oit.va.gov/Services/TRM/ToolPage.aspx?tid=13553^","Amazon Music Player")</f>
        <v>Amazon Music Player</v>
      </c>
      <c r="B428" s="4" t="s">
        <v>564</v>
      </c>
      <c r="C428" s="8" t="s">
        <v>5</v>
      </c>
      <c r="D428" s="11" t="s">
        <v>6526</v>
      </c>
    </row>
    <row r="429" spans="1:4" ht="30">
      <c r="A429" s="5" t="str">
        <f>HYPERLINK("https://www.oit.va.gov/Services/TRM/ToolPage.aspx?tid=16538^","Amazon Web Services (AWS) Tools for Windows")</f>
        <v>Amazon Web Services (AWS) Tools for Windows</v>
      </c>
      <c r="B429" s="4" t="s">
        <v>564</v>
      </c>
      <c r="C429" s="8" t="s">
        <v>5</v>
      </c>
      <c r="D429" s="11" t="s">
        <v>2153</v>
      </c>
    </row>
    <row r="430" spans="1:4" ht="30">
      <c r="A430" s="5" t="str">
        <f>HYPERLINK("https://www.oit.va.gov/Services/TRM/ToolPage.aspx?tid=13891^","MP3 Downloader")</f>
        <v>MP3 Downloader</v>
      </c>
      <c r="B430" s="4" t="s">
        <v>564</v>
      </c>
      <c r="C430" s="8" t="s">
        <v>5</v>
      </c>
      <c r="D430" s="11" t="s">
        <v>8284</v>
      </c>
    </row>
    <row r="431" spans="1:4" ht="30">
      <c r="A431" s="5" t="str">
        <f>HYPERLINK("https://www.oit.va.gov/Services/TRM/ToolPage.aspx?tid=14092^","Ring App")</f>
        <v>Ring App</v>
      </c>
      <c r="B431" s="4" t="s">
        <v>564</v>
      </c>
      <c r="C431" s="8" t="s">
        <v>5</v>
      </c>
      <c r="D431" s="11" t="s">
        <v>8573</v>
      </c>
    </row>
    <row r="432" spans="1:4" ht="30">
      <c r="A432" s="5" t="str">
        <f>HYPERLINK("https://www.oit.va.gov/Services/TRM/ToolPage.aspx?tid=13452^","Send to Kindle")</f>
        <v>Send to Kindle</v>
      </c>
      <c r="B432" s="4" t="s">
        <v>564</v>
      </c>
      <c r="C432" s="8" t="s">
        <v>5</v>
      </c>
      <c r="D432" s="11" t="s">
        <v>8615</v>
      </c>
    </row>
    <row r="433" spans="1:4" ht="30">
      <c r="A433" s="5" t="str">
        <f>HYPERLINK("https://www.oit.va.gov/Services/TRM/ToolPage.aspx?tid=14982^","Amazon Appstream 2.0 Client")</f>
        <v>Amazon Appstream 2.0 Client</v>
      </c>
      <c r="B433" s="4" t="s">
        <v>287</v>
      </c>
      <c r="C433" s="8" t="s">
        <v>5</v>
      </c>
      <c r="D433" s="11" t="s">
        <v>288</v>
      </c>
    </row>
    <row r="434" spans="1:4" ht="30">
      <c r="A434" s="5" t="str">
        <f>HYPERLINK("https://www.oit.va.gov/Services/TRM/ToolPage.aspx?tid=16168^","Amazon Genomics Command Line Interface (CLI)")</f>
        <v>Amazon Genomics Command Line Interface (CLI)</v>
      </c>
      <c r="B434" s="4" t="s">
        <v>287</v>
      </c>
      <c r="C434" s="8" t="s">
        <v>5</v>
      </c>
      <c r="D434" s="11" t="s">
        <v>560</v>
      </c>
    </row>
    <row r="435" spans="1:4" ht="30">
      <c r="A435" s="5" t="str">
        <f>HYPERLINK("https://www.oit.va.gov/Services/TRM/ToolPage.aspx?tid=15830^","Amazon Redshift Java Database Connectivity (JDBC) Driver")</f>
        <v>Amazon Redshift Java Database Connectivity (JDBC) Driver</v>
      </c>
      <c r="B435" s="4" t="s">
        <v>287</v>
      </c>
      <c r="C435" s="8" t="s">
        <v>5</v>
      </c>
      <c r="D435" s="11" t="s">
        <v>561</v>
      </c>
    </row>
    <row r="436" spans="1:4" ht="30">
      <c r="A436" s="5" t="str">
        <f>HYPERLINK("https://www.oit.va.gov/Services/TRM/ToolPage.aspx?tid=14055^","Amazon Redshift Open Database Connectivity (ODBC) Driver")</f>
        <v>Amazon Redshift Open Database Connectivity (ODBC) Driver</v>
      </c>
      <c r="B436" s="4" t="s">
        <v>287</v>
      </c>
      <c r="C436" s="8" t="s">
        <v>5</v>
      </c>
      <c r="D436" s="11" t="s">
        <v>562</v>
      </c>
    </row>
    <row r="437" spans="1:4" ht="30">
      <c r="A437" s="5" t="str">
        <f>HYPERLINK("https://www.oit.va.gov/Services/TRM/ToolPage.aspx?tid=14205^","Amazon Web Services (AWS) Software Development Kit (SDK) for .NET")</f>
        <v>Amazon Web Services (AWS) Software Development Kit (SDK) for .NET</v>
      </c>
      <c r="B437" s="4" t="s">
        <v>287</v>
      </c>
      <c r="C437" s="8" t="s">
        <v>5</v>
      </c>
      <c r="D437" s="11" t="s">
        <v>563</v>
      </c>
    </row>
    <row r="438" spans="1:4" ht="30">
      <c r="A438" s="5" t="str">
        <f>HYPERLINK("https://www.oit.va.gov/Services/TRM/ToolPage.aspx?tid=15032^","Amazon Web Services (AWS) Software Development Kit (SDK) for Java")</f>
        <v>Amazon Web Services (AWS) Software Development Kit (SDK) for Java</v>
      </c>
      <c r="B438" s="4" t="s">
        <v>287</v>
      </c>
      <c r="C438" s="8" t="s">
        <v>5</v>
      </c>
      <c r="D438" s="11" t="s">
        <v>1294</v>
      </c>
    </row>
    <row r="439" spans="1:4" ht="30">
      <c r="A439" s="5" t="str">
        <f>HYPERLINK("https://www.oit.va.gov/Services/TRM/ToolPage.aspx?tid=14565^","Amazon Web Services (AWS) Software Development Kit (SDK) for JavaScript")</f>
        <v>Amazon Web Services (AWS) Software Development Kit (SDK) for JavaScript</v>
      </c>
      <c r="B439" s="4" t="s">
        <v>287</v>
      </c>
      <c r="C439" s="8" t="s">
        <v>5</v>
      </c>
      <c r="D439" s="11" t="s">
        <v>403</v>
      </c>
    </row>
    <row r="440" spans="1:4" ht="30">
      <c r="A440" s="5" t="str">
        <f>HYPERLINK("https://www.oit.va.gov/Services/TRM/ToolPage.aspx?tid=16728^","CloudWatch Synthetics")</f>
        <v>CloudWatch Synthetics</v>
      </c>
      <c r="B440" s="4" t="s">
        <v>287</v>
      </c>
      <c r="C440" s="8" t="s">
        <v>5</v>
      </c>
      <c r="D440" s="11" t="s">
        <v>1437</v>
      </c>
    </row>
    <row r="441" spans="1:4" ht="30">
      <c r="A441" s="5" t="str">
        <f>HYPERLINK("https://www.oit.va.gov/Services/TRM/ToolPage.aspx?tid=14149^","Amazon Corretto")</f>
        <v>Amazon Corretto</v>
      </c>
      <c r="B441" s="4" t="s">
        <v>287</v>
      </c>
      <c r="C441" s="8" t="s">
        <v>5</v>
      </c>
      <c r="D441" s="11" t="s">
        <v>3733</v>
      </c>
    </row>
    <row r="442" spans="1:4" ht="30">
      <c r="A442" s="5" t="str">
        <f>HYPERLINK("https://www.oit.va.gov/Services/TRM/ToolPage.aspx?tid=14856^","Amazon Linux")</f>
        <v>Amazon Linux</v>
      </c>
      <c r="B442" s="4" t="s">
        <v>287</v>
      </c>
      <c r="C442" s="8" t="s">
        <v>5</v>
      </c>
      <c r="D442" s="11" t="s">
        <v>1092</v>
      </c>
    </row>
    <row r="443" spans="1:4" ht="30">
      <c r="A443" s="5" t="str">
        <f>HYPERLINK("https://www.oit.va.gov/Services/TRM/ToolPage.aspx?tid=16800^","Amazon Web Service (AWS) Session Manager plugin")</f>
        <v>Amazon Web Service (AWS) Session Manager plugin</v>
      </c>
      <c r="B443" s="4" t="s">
        <v>287</v>
      </c>
      <c r="C443" s="8" t="s">
        <v>5</v>
      </c>
      <c r="D443" s="11" t="s">
        <v>3734</v>
      </c>
    </row>
    <row r="444" spans="1:4" ht="30">
      <c r="A444" s="5" t="str">
        <f>HYPERLINK("https://www.oit.va.gov/Services/TRM/ToolPage.aspx?tid=15132^","Amazon Web Services (AWS) Migration Hub")</f>
        <v>Amazon Web Services (AWS) Migration Hub</v>
      </c>
      <c r="B444" s="4" t="s">
        <v>287</v>
      </c>
      <c r="C444" s="8" t="s">
        <v>5</v>
      </c>
      <c r="D444" s="11" t="s">
        <v>370</v>
      </c>
    </row>
    <row r="445" spans="1:4" ht="30">
      <c r="A445" s="5" t="str">
        <f>HYPERLINK("https://www.oit.va.gov/Services/TRM/ToolPage.aspx?tid=15639^","Amazon Web Services (AWS) Serverless Application Model (SAM)")</f>
        <v>Amazon Web Services (AWS) Serverless Application Model (SAM)</v>
      </c>
      <c r="B445" s="4" t="s">
        <v>287</v>
      </c>
      <c r="C445" s="8" t="s">
        <v>5</v>
      </c>
      <c r="D445" s="11" t="s">
        <v>3735</v>
      </c>
    </row>
    <row r="446" spans="1:4" ht="30">
      <c r="A446" s="5" t="str">
        <f>HYPERLINK("https://www.oit.va.gov/Services/TRM/ToolPage.aspx?tid=14948^","Amazon Web Services (AWS) Snowball Edge Client")</f>
        <v>Amazon Web Services (AWS) Snowball Edge Client</v>
      </c>
      <c r="B446" s="4" t="s">
        <v>287</v>
      </c>
      <c r="C446" s="8" t="s">
        <v>5</v>
      </c>
      <c r="D446" s="11" t="s">
        <v>3736</v>
      </c>
    </row>
    <row r="447" spans="1:4" ht="30">
      <c r="A447" s="5" t="str">
        <f>HYPERLINK("https://www.oit.va.gov/Services/TRM/ToolPage.aspx?tid=14237^","Amazon Web Services (AWS) Toolkit for Visual Studio")</f>
        <v>Amazon Web Services (AWS) Toolkit for Visual Studio</v>
      </c>
      <c r="B447" s="4" t="s">
        <v>287</v>
      </c>
      <c r="C447" s="8" t="s">
        <v>5</v>
      </c>
      <c r="D447" s="11" t="s">
        <v>3737</v>
      </c>
    </row>
    <row r="448" spans="1:4" ht="30">
      <c r="A448" s="5" t="str">
        <f>HYPERLINK("https://www.oit.va.gov/Services/TRM/ToolPage.aspx?tid=16567^","Amazon Web Services Serverless Application Model Command Line Interface (AWS SAM CLI)")</f>
        <v>Amazon Web Services Serverless Application Model Command Line Interface (AWS SAM CLI)</v>
      </c>
      <c r="B448" s="4" t="s">
        <v>287</v>
      </c>
      <c r="C448" s="8" t="s">
        <v>5</v>
      </c>
      <c r="D448" s="11" t="s">
        <v>562</v>
      </c>
    </row>
    <row r="449" spans="1:4" ht="30">
      <c r="A449" s="5" t="str">
        <f>HYPERLINK("https://www.oit.va.gov/Services/TRM/ToolPage.aspx?tid=16375^","NICE Desktop Cloud Visualization (DCV)")</f>
        <v>NICE Desktop Cloud Visualization (DCV)</v>
      </c>
      <c r="B449" s="4" t="s">
        <v>287</v>
      </c>
      <c r="C449" s="8" t="s">
        <v>5</v>
      </c>
      <c r="D449" s="11" t="s">
        <v>1772</v>
      </c>
    </row>
    <row r="450" spans="1:4" ht="30">
      <c r="A450" s="5" t="str">
        <f>HYPERLINK("https://www.oit.va.gov/Services/TRM/ToolPage.aspx?tid=11469^","Amazon Web Services (AWS) Command Line Interface (CLI)")</f>
        <v>Amazon Web Services (AWS) Command Line Interface (CLI)</v>
      </c>
      <c r="B450" s="4" t="s">
        <v>287</v>
      </c>
      <c r="C450" s="8" t="s">
        <v>5</v>
      </c>
      <c r="D450" s="11" t="s">
        <v>3140</v>
      </c>
    </row>
    <row r="451" spans="1:4" ht="30">
      <c r="A451" s="5" t="str">
        <f>HYPERLINK("https://www.oit.va.gov/Services/TRM/ToolPage.aspx?tid=13975^","Amazon Web Services (AWS) ElasticWolf Client Console")</f>
        <v>Amazon Web Services (AWS) ElasticWolf Client Console</v>
      </c>
      <c r="B451" s="4" t="s">
        <v>287</v>
      </c>
      <c r="C451" s="8" t="s">
        <v>5</v>
      </c>
      <c r="D451" s="11" t="s">
        <v>6264</v>
      </c>
    </row>
    <row r="452" spans="1:4" ht="30">
      <c r="A452" s="5" t="str">
        <f>HYPERLINK("https://www.oit.va.gov/Services/TRM/ToolPage.aspx?tid=10884^","Amazon Web Services (AWS) Software Development Kit (SDK) for Ruby")</f>
        <v>Amazon Web Services (AWS) Software Development Kit (SDK) for Ruby</v>
      </c>
      <c r="B452" s="4" t="s">
        <v>287</v>
      </c>
      <c r="C452" s="8" t="s">
        <v>5</v>
      </c>
      <c r="D452" s="11" t="s">
        <v>7435</v>
      </c>
    </row>
    <row r="453" spans="1:4" ht="30">
      <c r="A453" s="5" t="str">
        <f>HYPERLINK("https://www.oit.va.gov/Services/TRM/ToolPage.aspx?tid=16643^","Powertools for Amazon Web Services (AWS) Lambda (Python)")</f>
        <v>Powertools for Amazon Web Services (AWS) Lambda (Python)</v>
      </c>
      <c r="B453" s="4" t="s">
        <v>1854</v>
      </c>
      <c r="C453" s="8" t="s">
        <v>5</v>
      </c>
      <c r="D453" s="11" t="s">
        <v>1855</v>
      </c>
    </row>
    <row r="454" spans="1:4" ht="30">
      <c r="A454" s="5" t="str">
        <f>HYPERLINK("https://www.oit.va.gov/Services/TRM/ToolPage.aspx?tid=11470^","Amazon Web Services (AWS)-Shell")</f>
        <v>Amazon Web Services (AWS)-Shell</v>
      </c>
      <c r="B454" s="4" t="s">
        <v>1854</v>
      </c>
      <c r="C454" s="8" t="s">
        <v>5</v>
      </c>
      <c r="D454" s="11" t="s">
        <v>3738</v>
      </c>
    </row>
    <row r="455" spans="1:4" ht="30">
      <c r="A455" s="5" t="str">
        <f>HYPERLINK("https://www.oit.va.gov/Services/TRM/ToolPage.aspx?tid=5879^","AmbirScan")</f>
        <v>AmbirScan</v>
      </c>
      <c r="B455" s="4" t="s">
        <v>2368</v>
      </c>
      <c r="C455" s="8" t="s">
        <v>5</v>
      </c>
      <c r="D455" s="11" t="s">
        <v>2369</v>
      </c>
    </row>
    <row r="456" spans="1:4" ht="30">
      <c r="A456" s="5" t="str">
        <f>HYPERLINK("https://www.oit.va.gov/Services/TRM/ToolPage.aspx?tid=10077^","Motionlogger Action4")</f>
        <v>Motionlogger Action4</v>
      </c>
      <c r="B456" s="4" t="s">
        <v>438</v>
      </c>
      <c r="C456" s="8" t="s">
        <v>5</v>
      </c>
      <c r="D456" s="11" t="s">
        <v>439</v>
      </c>
    </row>
    <row r="457" spans="1:4" ht="30">
      <c r="A457" s="5" t="str">
        <f>HYPERLINK("https://www.oit.va.gov/Services/TRM/ToolPage.aspx?tid=10079^","Motionlogger Watchware")</f>
        <v>Motionlogger Watchware</v>
      </c>
      <c r="B457" s="4" t="s">
        <v>438</v>
      </c>
      <c r="C457" s="8" t="s">
        <v>5</v>
      </c>
      <c r="D457" s="11" t="s">
        <v>1754</v>
      </c>
    </row>
    <row r="458" spans="1:4" ht="30">
      <c r="A458" s="5" t="str">
        <f>HYPERLINK("https://www.oit.va.gov/Services/TRM/ToolPage.aspx?tid=10078^","Motionlogger ActionW")</f>
        <v>Motionlogger ActionW</v>
      </c>
      <c r="B458" s="4" t="s">
        <v>438</v>
      </c>
      <c r="C458" s="8" t="s">
        <v>5</v>
      </c>
      <c r="D458" s="11" t="s">
        <v>1062</v>
      </c>
    </row>
    <row r="459" spans="1:4" ht="30">
      <c r="A459" s="5" t="str">
        <f>HYPERLINK("https://www.oit.va.gov/Services/TRM/ToolPage.aspx?tid=15194^","AmCharts 5")</f>
        <v>AmCharts 5</v>
      </c>
      <c r="B459" s="4" t="s">
        <v>6265</v>
      </c>
      <c r="C459" s="8" t="s">
        <v>5</v>
      </c>
      <c r="D459" s="11" t="s">
        <v>6266</v>
      </c>
    </row>
    <row r="460" spans="1:4" ht="30">
      <c r="A460" s="5" t="str">
        <f>HYPERLINK("https://www.oit.va.gov/Services/TRM/ToolPage.aspx?tid=16007^","AMD Radeon")</f>
        <v>AMD Radeon</v>
      </c>
      <c r="B460" s="4" t="s">
        <v>2082</v>
      </c>
      <c r="C460" s="8" t="s">
        <v>5</v>
      </c>
      <c r="D460" s="11" t="s">
        <v>2083</v>
      </c>
    </row>
    <row r="461" spans="1:4" ht="30">
      <c r="A461" s="5" t="str">
        <f>HYPERLINK("https://www.oit.va.gov/Services/TRM/ToolPage.aspx?tid=11315^","Catalyst Control Center")</f>
        <v>Catalyst Control Center</v>
      </c>
      <c r="B461" s="4" t="s">
        <v>2082</v>
      </c>
      <c r="C461" s="8" t="s">
        <v>5</v>
      </c>
      <c r="D461" s="11" t="s">
        <v>2447</v>
      </c>
    </row>
    <row r="462" spans="1:4" ht="30">
      <c r="A462" s="5" t="str">
        <f>HYPERLINK("https://www.oit.va.gov/Services/TRM/ToolPage.aspx?tid=8742^","Agnes Interactive")</f>
        <v>Agnes Interactive</v>
      </c>
      <c r="B462" s="4" t="s">
        <v>5619</v>
      </c>
      <c r="C462" s="8" t="s">
        <v>5</v>
      </c>
      <c r="D462" s="11" t="s">
        <v>5620</v>
      </c>
    </row>
    <row r="463" spans="1:4" ht="30">
      <c r="A463" s="5" t="str">
        <f>HYPERLINK("https://www.oit.va.gov/Services/TRM/ToolPage.aspx?tid=13839^","American Automotive Association (AAA) Roadwise Review")</f>
        <v>American Automotive Association (AAA) Roadwise Review</v>
      </c>
      <c r="B463" s="4" t="s">
        <v>7437</v>
      </c>
      <c r="C463" s="8" t="s">
        <v>5</v>
      </c>
      <c r="D463" s="11" t="s">
        <v>1352</v>
      </c>
    </row>
    <row r="464" spans="1:4" ht="30">
      <c r="A464" s="5" t="str">
        <f>HYPERLINK("https://www.oit.va.gov/Services/TRM/ToolPage.aspx?tid=6061^","Medical Knowledge Self-Assessment Program (MKSAP)")</f>
        <v>Medical Knowledge Self-Assessment Program (MKSAP)</v>
      </c>
      <c r="B464" s="4" t="s">
        <v>5936</v>
      </c>
      <c r="C464" s="8" t="s">
        <v>5</v>
      </c>
      <c r="D464" s="11" t="s">
        <v>142</v>
      </c>
    </row>
    <row r="465" spans="1:4" ht="30">
      <c r="A465" s="5" t="str">
        <f>HYPERLINK("https://www.oit.va.gov/Services/TRM/ToolPage.aspx?tid=7281^","Transmission of Imaging and Data (TRIAD)")</f>
        <v>Transmission of Imaging and Data (TRIAD)</v>
      </c>
      <c r="B465" s="4" t="s">
        <v>4924</v>
      </c>
      <c r="C465" s="8" t="s">
        <v>5</v>
      </c>
      <c r="D465" s="11" t="s">
        <v>4925</v>
      </c>
    </row>
    <row r="466" spans="1:4" ht="30">
      <c r="A466" s="5" t="str">
        <f>HYPERLINK("https://www.oit.va.gov/Services/TRM/ToolPage.aspx?tid=8303^","victor Application Server")</f>
        <v>victor Application Server</v>
      </c>
      <c r="B466" s="4" t="s">
        <v>2034</v>
      </c>
      <c r="C466" s="8" t="s">
        <v>5</v>
      </c>
      <c r="D466" s="11" t="s">
        <v>2035</v>
      </c>
    </row>
    <row r="467" spans="1:4" ht="30">
      <c r="A467" s="5" t="str">
        <f>HYPERLINK("https://www.oit.va.gov/Services/TRM/ToolPage.aspx?tid=8304^","victor Unified Client")</f>
        <v>victor Unified Client</v>
      </c>
      <c r="B467" s="4" t="s">
        <v>2034</v>
      </c>
      <c r="C467" s="8" t="s">
        <v>5</v>
      </c>
      <c r="D467" s="11" t="s">
        <v>2672</v>
      </c>
    </row>
    <row r="468" spans="1:4" ht="30">
      <c r="A468" s="5" t="str">
        <f>HYPERLINK("https://www.oit.va.gov/Services/TRM/ToolPage.aspx?tid=10641^","Intellex Player")</f>
        <v>Intellex Player</v>
      </c>
      <c r="B468" s="4" t="s">
        <v>2034</v>
      </c>
      <c r="C468" s="8" t="s">
        <v>5</v>
      </c>
      <c r="D468" s="11" t="s">
        <v>5255</v>
      </c>
    </row>
    <row r="469" spans="1:4" ht="30">
      <c r="A469" s="5" t="str">
        <f>HYPERLINK("https://www.oit.va.gov/Services/TRM/ToolPage.aspx?tid=16439^","American Dynamics Software Development Kit (SDK)")</f>
        <v>American Dynamics Software Development Kit (SDK)</v>
      </c>
      <c r="B469" s="4" t="s">
        <v>2034</v>
      </c>
      <c r="C469" s="8" t="s">
        <v>5</v>
      </c>
      <c r="D469" s="11" t="s">
        <v>6268</v>
      </c>
    </row>
    <row r="470" spans="1:4" ht="30">
      <c r="A470" s="5" t="str">
        <f>HYPERLINK("https://www.oit.va.gov/Services/TRM/ToolPage.aspx?tid=11736^","American Foundation for the Blind Accessible Player")</f>
        <v>American Foundation for the Blind Accessible Player</v>
      </c>
      <c r="B470" s="4" t="s">
        <v>7439</v>
      </c>
      <c r="C470" s="8" t="s">
        <v>5</v>
      </c>
      <c r="D470" s="11" t="s">
        <v>2961</v>
      </c>
    </row>
    <row r="471" spans="1:4" ht="30">
      <c r="A471" s="5" t="str">
        <f>HYPERLINK("https://www.oit.va.gov/Services/TRM/ToolPage.aspx?tid=15134^","American HealthTech Care Management")</f>
        <v>American HealthTech Care Management</v>
      </c>
      <c r="B471" s="4" t="s">
        <v>2370</v>
      </c>
      <c r="C471" s="8" t="s">
        <v>5</v>
      </c>
      <c r="D471" s="11" t="s">
        <v>483</v>
      </c>
    </row>
    <row r="472" spans="1:4" ht="30">
      <c r="A472" s="5" t="str">
        <f>HYPERLINK("https://www.oit.va.gov/Services/TRM/ToolPage.aspx?tid=9008^","CUEConnect")</f>
        <v>CUEConnect</v>
      </c>
      <c r="B472" s="4" t="s">
        <v>5124</v>
      </c>
      <c r="C472" s="8" t="s">
        <v>5</v>
      </c>
      <c r="D472" s="11" t="s">
        <v>5125</v>
      </c>
    </row>
    <row r="473" spans="1:4" ht="30">
      <c r="A473" s="5" t="str">
        <f>HYPERLINK("https://www.oit.va.gov/Services/TRM/StandardPage.aspx?tid=10673^","Fibre Channel Backbone - 5 (FC-BB-5)")</f>
        <v>Fibre Channel Backbone - 5 (FC-BB-5)</v>
      </c>
      <c r="B473" s="4" t="s">
        <v>3298</v>
      </c>
      <c r="C473" s="8" t="s">
        <v>5</v>
      </c>
      <c r="D473" s="11" t="s">
        <v>3299</v>
      </c>
    </row>
    <row r="474" spans="1:4" ht="30">
      <c r="A474" s="5" t="str">
        <f>HYPERLINK("https://www.oit.va.gov/Services/TRM/ToolPage.aspx?tid=9017^","APHont")</f>
        <v>APHont</v>
      </c>
      <c r="B474" s="4" t="s">
        <v>1137</v>
      </c>
      <c r="C474" s="8" t="s">
        <v>5</v>
      </c>
      <c r="D474" s="11" t="s">
        <v>1138</v>
      </c>
    </row>
    <row r="475" spans="1:4" ht="30">
      <c r="A475" s="5" t="str">
        <f>HYPERLINK("https://www.oit.va.gov/Services/TRM/ToolPage.aspx?tid=7728^","CareCore")</f>
        <v>CareCore</v>
      </c>
      <c r="B475" s="4" t="s">
        <v>7616</v>
      </c>
      <c r="C475" s="8" t="s">
        <v>5</v>
      </c>
      <c r="D475" s="11" t="s">
        <v>7617</v>
      </c>
    </row>
    <row r="476" spans="1:4" ht="30">
      <c r="A476" s="5" t="str">
        <f>HYPERLINK("https://www.oit.va.gov/Services/TRM/ToolPage.aspx?tid=8992^","Correct and Confirm Software")</f>
        <v>Correct and Confirm Software</v>
      </c>
      <c r="B476" s="4" t="s">
        <v>2234</v>
      </c>
      <c r="C476" s="8" t="s">
        <v>5</v>
      </c>
      <c r="D476" s="11" t="s">
        <v>386</v>
      </c>
    </row>
    <row r="477" spans="1:4" ht="30">
      <c r="A477" s="5" t="str">
        <f>HYPERLINK("https://www.oit.va.gov/Services/TRM/ToolPage.aspx?tid=7023^","Amion Desktop Scheduler (OnCall)")</f>
        <v>Amion Desktop Scheduler (OnCall)</v>
      </c>
      <c r="B477" s="4" t="s">
        <v>2084</v>
      </c>
      <c r="C477" s="8" t="s">
        <v>5</v>
      </c>
      <c r="D477" s="11" t="s">
        <v>2085</v>
      </c>
    </row>
    <row r="478" spans="1:4" ht="30">
      <c r="A478" s="5" t="str">
        <f>HYPERLINK("https://www.oit.va.gov/Services/TRM/ToolPage.aspx?tid=11799^","Ammyy Admin")</f>
        <v>Ammyy Admin</v>
      </c>
      <c r="B478" s="4" t="s">
        <v>6269</v>
      </c>
      <c r="C478" s="8" t="s">
        <v>5</v>
      </c>
      <c r="D478" s="11" t="s">
        <v>6270</v>
      </c>
    </row>
    <row r="479" spans="1:4" ht="30">
      <c r="A479" s="5" t="str">
        <f>HYPERLINK("https://www.oit.va.gov/Services/TRM/ToolPage.aspx?tid=8453^","Video Remote Interpreting (VRI) Language Services")</f>
        <v>Video Remote Interpreting (VRI) Language Services</v>
      </c>
      <c r="B479" s="4" t="s">
        <v>8874</v>
      </c>
      <c r="C479" s="8" t="s">
        <v>5</v>
      </c>
      <c r="D479" s="11" t="s">
        <v>2932</v>
      </c>
    </row>
    <row r="480" spans="1:4" ht="30">
      <c r="A480" s="5" t="str">
        <f>HYPERLINK("https://www.oit.va.gov/Services/TRM/ToolPage.aspx?tid=13436^","Download Suite")</f>
        <v>Download Suite</v>
      </c>
      <c r="B480" s="4" t="s">
        <v>7794</v>
      </c>
      <c r="C480" s="8" t="s">
        <v>5</v>
      </c>
      <c r="D480" s="11" t="s">
        <v>1228</v>
      </c>
    </row>
    <row r="481" spans="1:4" ht="30">
      <c r="A481" s="5" t="str">
        <f>HYPERLINK("https://www.oit.va.gov/Services/TRM/ToolPage.aspx?tid=14900^","AmScope Software")</f>
        <v>AmScope Software</v>
      </c>
      <c r="B481" s="4" t="s">
        <v>5634</v>
      </c>
      <c r="C481" s="8" t="s">
        <v>5</v>
      </c>
      <c r="D481" s="11" t="s">
        <v>923</v>
      </c>
    </row>
    <row r="482" spans="1:4" ht="30">
      <c r="A482" s="5" t="str">
        <f>HYPERLINK("https://www.oit.va.gov/Services/TRM/ToolPage.aspx?tid=9839^","MousePoint")</f>
        <v>MousePoint</v>
      </c>
      <c r="B482" s="4" t="s">
        <v>3399</v>
      </c>
      <c r="C482" s="8" t="s">
        <v>5</v>
      </c>
      <c r="D482" s="11" t="s">
        <v>3400</v>
      </c>
    </row>
    <row r="483" spans="1:4" ht="30">
      <c r="A483" s="5" t="str">
        <f>HYPERLINK("https://www.oit.va.gov/Services/TRM/ToolPage.aspx?tid=13701^","To MP3 Converter")</f>
        <v>To MP3 Converter</v>
      </c>
      <c r="B483" s="4" t="s">
        <v>8813</v>
      </c>
      <c r="C483" s="8" t="s">
        <v>5</v>
      </c>
      <c r="D483" s="11" t="s">
        <v>8814</v>
      </c>
    </row>
    <row r="484" spans="1:4" ht="30">
      <c r="A484" s="5" t="str">
        <f>HYPERLINK("https://www.oit.va.gov/Services/TRM/ToolPage.aspx?tid=13637^","Netlinx Studio")</f>
        <v>Netlinx Studio</v>
      </c>
      <c r="B484" s="4" t="s">
        <v>8325</v>
      </c>
      <c r="C484" s="8" t="s">
        <v>5</v>
      </c>
      <c r="D484" s="11" t="s">
        <v>8218</v>
      </c>
    </row>
    <row r="485" spans="1:4" ht="30">
      <c r="A485" s="5" t="str">
        <f>HYPERLINK("https://www.oit.va.gov/Services/TRM/ToolPage.aspx?tid=13505^","Touch Panel Design (TPDesign)")</f>
        <v>Touch Panel Design (TPDesign)</v>
      </c>
      <c r="B485" s="4" t="s">
        <v>8325</v>
      </c>
      <c r="C485" s="8" t="s">
        <v>5</v>
      </c>
      <c r="D485" s="11" t="s">
        <v>7294</v>
      </c>
    </row>
    <row r="486" spans="1:4" ht="30">
      <c r="A486" s="5" t="str">
        <f>HYPERLINK("https://www.oit.va.gov/Services/TRM/ToolPage.aspx?tid=15681^","Amylior R-Net Personal Computer (PC) Programmer")</f>
        <v>Amylior R-Net Personal Computer (PC) Programmer</v>
      </c>
      <c r="B486" s="4" t="s">
        <v>5635</v>
      </c>
      <c r="C486" s="8" t="s">
        <v>5</v>
      </c>
      <c r="D486" s="11" t="s">
        <v>1141</v>
      </c>
    </row>
    <row r="487" spans="1:4" ht="30">
      <c r="A487" s="5" t="str">
        <f>HYPERLINK("https://www.oit.va.gov/Services/TRM/ToolPage.aspx?tid=8744^","Anaconda")</f>
        <v>Anaconda</v>
      </c>
      <c r="B487" s="4" t="s">
        <v>1295</v>
      </c>
      <c r="C487" s="8" t="s">
        <v>5</v>
      </c>
      <c r="D487" s="11" t="s">
        <v>1296</v>
      </c>
    </row>
    <row r="488" spans="1:4" ht="30">
      <c r="A488" s="5" t="str">
        <f>HYPERLINK("https://www.oit.va.gov/Services/TRM/ToolPage.aspx?tid=13300^","Analyse-It")</f>
        <v>Analyse-It</v>
      </c>
      <c r="B488" s="4" t="s">
        <v>6271</v>
      </c>
      <c r="C488" s="8" t="s">
        <v>5</v>
      </c>
      <c r="D488" s="11" t="s">
        <v>1152</v>
      </c>
    </row>
    <row r="489" spans="1:4" ht="30">
      <c r="A489" s="5" t="str">
        <f>HYPERLINK("https://www.oit.va.gov/Services/TRM/ToolPage.aspx?tid=7940^","UCINET")</f>
        <v>UCINET</v>
      </c>
      <c r="B489" s="4" t="s">
        <v>6127</v>
      </c>
      <c r="C489" s="8" t="s">
        <v>5</v>
      </c>
      <c r="D489" s="11" t="s">
        <v>6128</v>
      </c>
    </row>
    <row r="490" spans="1:4" ht="30">
      <c r="A490" s="5" t="str">
        <f>HYPERLINK("https://www.oit.va.gov/Services/TRM/ToolPage.aspx?tid=11125^","Anthropac")</f>
        <v>Anthropac</v>
      </c>
      <c r="B490" s="4" t="s">
        <v>6127</v>
      </c>
      <c r="C490" s="8" t="s">
        <v>5</v>
      </c>
      <c r="D490" s="11" t="s">
        <v>7449</v>
      </c>
    </row>
    <row r="491" spans="1:4" ht="30">
      <c r="A491" s="5" t="str">
        <f>HYPERLINK("https://www.oit.va.gov/Services/TRM/ToolPage.aspx?tid=14050^","E-Net")</f>
        <v>E-Net</v>
      </c>
      <c r="B491" s="4" t="s">
        <v>6127</v>
      </c>
      <c r="C491" s="8" t="s">
        <v>5</v>
      </c>
      <c r="D491" s="11" t="s">
        <v>3831</v>
      </c>
    </row>
    <row r="492" spans="1:4" ht="30">
      <c r="A492" s="5" t="str">
        <f>HYPERLINK("https://www.oit.va.gov/Services/TRM/ToolPage.aspx?tid=8422^","Statistix")</f>
        <v>Statistix</v>
      </c>
      <c r="B492" s="4" t="s">
        <v>8728</v>
      </c>
      <c r="C492" s="8" t="s">
        <v>5</v>
      </c>
      <c r="D492" s="11" t="s">
        <v>8729</v>
      </c>
    </row>
    <row r="493" spans="1:4" ht="30">
      <c r="A493" s="5" t="str">
        <f>HYPERLINK("https://www.oit.va.gov/Services/TRM/ToolPage.aspx?tid=15685^","Invivo")</f>
        <v>Invivo</v>
      </c>
      <c r="B493" s="4" t="s">
        <v>1663</v>
      </c>
      <c r="C493" s="8" t="s">
        <v>5</v>
      </c>
      <c r="D493" s="11" t="s">
        <v>1664</v>
      </c>
    </row>
    <row r="494" spans="1:4" ht="30">
      <c r="A494" s="5" t="str">
        <f>HYPERLINK("https://www.oit.va.gov/Services/TRM/ToolPage.aspx?tid=16208^","Anchore Syft")</f>
        <v>Anchore Syft</v>
      </c>
      <c r="B494" s="4" t="s">
        <v>3741</v>
      </c>
      <c r="C494" s="8" t="s">
        <v>5</v>
      </c>
      <c r="D494" s="11" t="s">
        <v>3742</v>
      </c>
    </row>
    <row r="495" spans="1:4" ht="30">
      <c r="A495" s="5" t="str">
        <f>HYPERLINK("https://www.oit.va.gov/Services/TRM/ToolPage.aspx?tid=10812^","Solis S")</f>
        <v>Solis S</v>
      </c>
      <c r="B495" s="4" t="s">
        <v>7160</v>
      </c>
      <c r="C495" s="8" t="s">
        <v>5</v>
      </c>
      <c r="D495" s="11" t="s">
        <v>256</v>
      </c>
    </row>
    <row r="496" spans="1:4" ht="30">
      <c r="A496" s="5" t="str">
        <f>HYPERLINK("https://www.oit.va.gov/Services/TRM/ToolPage.aspx?tid=7794^","BetterTouchTool")</f>
        <v>BetterTouchTool</v>
      </c>
      <c r="B496" s="4" t="s">
        <v>6341</v>
      </c>
      <c r="C496" s="8" t="s">
        <v>5</v>
      </c>
      <c r="D496" s="11" t="s">
        <v>953</v>
      </c>
    </row>
    <row r="497" spans="1:4" ht="30">
      <c r="A497" s="5" t="str">
        <f>HYPERLINK("https://www.oit.va.gov/Services/TRM/ToolPage.aspx?tid=13802^","Comprehensive Perl Archive Network (CPAN) module")</f>
        <v>Comprehensive Perl Archive Network (CPAN) module</v>
      </c>
      <c r="B497" s="4" t="s">
        <v>1452</v>
      </c>
      <c r="C497" s="8" t="s">
        <v>5</v>
      </c>
      <c r="D497" s="11" t="s">
        <v>1453</v>
      </c>
    </row>
    <row r="498" spans="1:4" ht="30">
      <c r="A498" s="5" t="str">
        <f>HYPERLINK("https://www.oit.va.gov/Services/TRM/ToolPage.aspx?tid=10035^","PROCESS")</f>
        <v>PROCESS</v>
      </c>
      <c r="B498" s="4" t="s">
        <v>2299</v>
      </c>
      <c r="C498" s="8" t="s">
        <v>5</v>
      </c>
      <c r="D498" s="11" t="s">
        <v>2300</v>
      </c>
    </row>
    <row r="499" spans="1:4" ht="30">
      <c r="A499" s="5" t="str">
        <f>HYPERLINK("https://www.oit.va.gov/Services/TRM/ToolPage.aspx?tid=7761^","OpenSolver")</f>
        <v>OpenSolver</v>
      </c>
      <c r="B499" s="4" t="s">
        <v>1190</v>
      </c>
      <c r="C499" s="8" t="s">
        <v>5</v>
      </c>
      <c r="D499" s="11" t="s">
        <v>1191</v>
      </c>
    </row>
    <row r="500" spans="1:4" ht="30">
      <c r="A500" s="5" t="str">
        <f>HYPERLINK("https://www.oit.va.gov/Services/TRM/ToolPage.aspx?tid=13395^","WinDjView")</f>
        <v>WinDjView</v>
      </c>
      <c r="B500" s="4" t="s">
        <v>8928</v>
      </c>
      <c r="C500" s="8" t="s">
        <v>5</v>
      </c>
      <c r="D500" s="11" t="s">
        <v>3402</v>
      </c>
    </row>
    <row r="501" spans="1:4" ht="30">
      <c r="A501" s="5" t="str">
        <f>HYPERLINK("https://www.oit.va.gov/Services/TRM/ToolPage.aspx?tid=9236^","NekoHTML")</f>
        <v>NekoHTML</v>
      </c>
      <c r="B501" s="4" t="s">
        <v>8312</v>
      </c>
      <c r="C501" s="8" t="s">
        <v>5</v>
      </c>
      <c r="D501" s="11" t="s">
        <v>8194</v>
      </c>
    </row>
    <row r="502" spans="1:4" ht="30">
      <c r="A502" s="5" t="str">
        <f>HYPERLINK("https://www.oit.va.gov/Services/TRM/ToolPage.aspx?tid=11204^","Protractor Accessibility Plugin")</f>
        <v>Protractor Accessibility Plugin</v>
      </c>
      <c r="B502" s="4" t="s">
        <v>8490</v>
      </c>
      <c r="C502" s="8" t="s">
        <v>5</v>
      </c>
      <c r="D502" s="11" t="s">
        <v>3886</v>
      </c>
    </row>
    <row r="503" spans="1:4" ht="30">
      <c r="A503" s="5" t="str">
        <f>HYPERLINK("https://www.oit.va.gov/Services/TRM/ToolPage.aspx?tid=13628^","Resource Hacker")</f>
        <v>Resource Hacker</v>
      </c>
      <c r="B503" s="4" t="s">
        <v>8566</v>
      </c>
      <c r="C503" s="8" t="s">
        <v>5</v>
      </c>
      <c r="D503" s="11" t="s">
        <v>8567</v>
      </c>
    </row>
    <row r="504" spans="1:4" ht="30">
      <c r="A504" s="5" t="str">
        <f>HYPERLINK("https://www.oit.va.gov/Services/TRM/ToolPage.aspx?tid=12848^","Animal Resource Management (ARM)")</f>
        <v>Animal Resource Management (ARM)</v>
      </c>
      <c r="B504" s="4" t="s">
        <v>2371</v>
      </c>
      <c r="C504" s="8" t="s">
        <v>5</v>
      </c>
      <c r="D504" s="11" t="s">
        <v>2372</v>
      </c>
    </row>
    <row r="505" spans="1:4" ht="30">
      <c r="A505" s="5" t="str">
        <f>HYPERLINK("https://www.oit.va.gov/Services/TRM/ToolPage.aspx?tid=6094^","Password Policy Enforcer")</f>
        <v>Password Policy Enforcer</v>
      </c>
      <c r="B505" s="4" t="s">
        <v>6202</v>
      </c>
      <c r="C505" s="8" t="s">
        <v>5</v>
      </c>
      <c r="D505" s="11" t="s">
        <v>3600</v>
      </c>
    </row>
    <row r="506" spans="1:4" ht="30">
      <c r="A506" s="5" t="str">
        <f>HYPERLINK("https://www.oit.va.gov/Services/TRM/ToolPage.aspx?tid=16849^","AnkerWork")</f>
        <v>AnkerWork</v>
      </c>
      <c r="B506" s="4" t="s">
        <v>3744</v>
      </c>
      <c r="C506" s="8" t="s">
        <v>5</v>
      </c>
      <c r="D506" s="11" t="s">
        <v>3745</v>
      </c>
    </row>
    <row r="507" spans="1:4" ht="30">
      <c r="A507" s="5" t="str">
        <f>HYPERLINK("https://www.oit.va.gov/Services/TRM/ToolPage.aspx?tid=9238^","DIApedia Patient Information Capture (PIC)")</f>
        <v>DIApedia Patient Information Capture (PIC)</v>
      </c>
      <c r="B507" s="4" t="s">
        <v>2508</v>
      </c>
      <c r="C507" s="8" t="s">
        <v>5</v>
      </c>
      <c r="D507" s="11" t="s">
        <v>2509</v>
      </c>
    </row>
    <row r="508" spans="1:4" ht="30">
      <c r="A508" s="5" t="str">
        <f>HYPERLINK("https://www.oit.va.gov/Services/TRM/ToolPage.aspx?tid=13603^","HeidiSQL")</f>
        <v>HeidiSQL</v>
      </c>
      <c r="B508" s="4" t="s">
        <v>8020</v>
      </c>
      <c r="C508" s="8" t="s">
        <v>5</v>
      </c>
      <c r="D508" s="11" t="s">
        <v>7791</v>
      </c>
    </row>
    <row r="509" spans="1:4" ht="30">
      <c r="A509" s="5" t="str">
        <f>HYPERLINK("https://www.oit.va.gov/Services/TRM/StandardPage.aspx?tid=5437^","Synchronous Optical Network (SONET)")</f>
        <v>Synchronous Optical Network (SONET)</v>
      </c>
      <c r="B509" s="4" t="s">
        <v>2193</v>
      </c>
      <c r="C509" s="8" t="s">
        <v>5</v>
      </c>
      <c r="D509" s="11" t="s">
        <v>2194</v>
      </c>
    </row>
    <row r="510" spans="1:4" ht="30">
      <c r="A510" s="5" t="str">
        <f>HYPERLINK("https://www.oit.va.gov/Services/TRM/StandardPage.aspx?tid=9530^","Role Based Access Control (RBAC)")</f>
        <v>Role Based Access Control (RBAC)</v>
      </c>
      <c r="B510" s="4" t="s">
        <v>2193</v>
      </c>
      <c r="C510" s="8" t="s">
        <v>5</v>
      </c>
      <c r="D510" s="11" t="s">
        <v>8301</v>
      </c>
    </row>
    <row r="511" spans="1:4" ht="30">
      <c r="A511" s="5" t="str">
        <f>HYPERLINK("https://www.oit.va.gov/Services/TRM/ToolPage.aspx?tid=8196^","Ansible")</f>
        <v>Ansible</v>
      </c>
      <c r="B511" s="4" t="s">
        <v>3746</v>
      </c>
      <c r="C511" s="8" t="s">
        <v>5</v>
      </c>
      <c r="D511" s="11" t="s">
        <v>2647</v>
      </c>
    </row>
    <row r="512" spans="1:4" ht="30">
      <c r="A512" s="5" t="str">
        <f>HYPERLINK("https://www.oit.va.gov/Services/TRM/ToolPage.aspx?tid=16692^","Ansible AWX")</f>
        <v>Ansible AWX</v>
      </c>
      <c r="B512" s="4" t="s">
        <v>3746</v>
      </c>
      <c r="C512" s="8" t="s">
        <v>5</v>
      </c>
      <c r="D512" s="11" t="s">
        <v>3748</v>
      </c>
    </row>
    <row r="513" spans="1:4" ht="30">
      <c r="A513" s="5" t="str">
        <f>HYPERLINK("https://www.oit.va.gov/Services/TRM/ToolPage.aspx?tid=16639^","Ansible Project")</f>
        <v>Ansible Project</v>
      </c>
      <c r="B513" s="4" t="s">
        <v>3746</v>
      </c>
      <c r="C513" s="8" t="s">
        <v>5</v>
      </c>
      <c r="D513" s="11" t="s">
        <v>3749</v>
      </c>
    </row>
    <row r="514" spans="1:4" ht="30">
      <c r="A514" s="5" t="str">
        <f>HYPERLINK("https://www.oit.va.gov/Services/TRM/ToolPage.aspx?tid=9111^","ANSYS Maxwell")</f>
        <v>ANSYS Maxwell</v>
      </c>
      <c r="B514" s="4" t="s">
        <v>922</v>
      </c>
      <c r="C514" s="8" t="s">
        <v>5</v>
      </c>
      <c r="D514" s="11" t="s">
        <v>923</v>
      </c>
    </row>
    <row r="515" spans="1:4" ht="30">
      <c r="A515" s="5" t="str">
        <f>HYPERLINK("https://www.oit.va.gov/Services/TRM/ToolPage.aspx?tid=13827^","EnSight")</f>
        <v>EnSight</v>
      </c>
      <c r="B515" s="4" t="s">
        <v>922</v>
      </c>
      <c r="C515" s="8" t="s">
        <v>5</v>
      </c>
      <c r="D515" s="11" t="s">
        <v>3278</v>
      </c>
    </row>
    <row r="516" spans="1:4" ht="30">
      <c r="A516" s="5" t="str">
        <f>HYPERLINK("https://www.oit.va.gov/Services/TRM/ToolPage.aspx?tid=13363^","LS-DYNA")</f>
        <v>LS-DYNA</v>
      </c>
      <c r="B516" s="4" t="s">
        <v>922</v>
      </c>
      <c r="C516" s="8" t="s">
        <v>5</v>
      </c>
      <c r="D516" s="11" t="s">
        <v>3367</v>
      </c>
    </row>
    <row r="517" spans="1:4" ht="30">
      <c r="A517" s="5" t="str">
        <f>HYPERLINK("https://www.oit.va.gov/Services/TRM/ToolPage.aspx?tid=13880^","SoundSoap")</f>
        <v>SoundSoap</v>
      </c>
      <c r="B517" s="4" t="s">
        <v>8698</v>
      </c>
      <c r="C517" s="8" t="s">
        <v>5</v>
      </c>
      <c r="D517" s="11" t="s">
        <v>8699</v>
      </c>
    </row>
    <row r="518" spans="1:4" ht="30">
      <c r="A518" s="5" t="str">
        <f>HYPERLINK("https://www.oit.va.gov/Services/TRM/ToolPage.aspx?tid=8045^","Ant-Contrib Tasks")</f>
        <v>Ant-Contrib Tasks</v>
      </c>
      <c r="B518" s="4" t="s">
        <v>7448</v>
      </c>
      <c r="C518" s="8" t="s">
        <v>5</v>
      </c>
      <c r="D518" s="11" t="s">
        <v>1094</v>
      </c>
    </row>
    <row r="519" spans="1:4" ht="30">
      <c r="A519" s="5" t="str">
        <f>HYPERLINK("https://www.oit.va.gov/Services/TRM/ToolPage.aspx?tid=13621^","PortraitPro")</f>
        <v>PortraitPro</v>
      </c>
      <c r="B519" s="4" t="s">
        <v>8456</v>
      </c>
      <c r="C519" s="8" t="s">
        <v>5</v>
      </c>
      <c r="D519" s="11" t="s">
        <v>8457</v>
      </c>
    </row>
    <row r="520" spans="1:4" ht="30">
      <c r="A520" s="5" t="str">
        <f>HYPERLINK("https://www.oit.va.gov/Services/TRM/ToolPage.aspx?tid=16511^","Antibody Check")</f>
        <v>Antibody Check</v>
      </c>
      <c r="B520" s="4" t="s">
        <v>5638</v>
      </c>
      <c r="C520" s="8" t="s">
        <v>5</v>
      </c>
      <c r="D520" s="11" t="s">
        <v>1550</v>
      </c>
    </row>
    <row r="521" spans="1:4" ht="30">
      <c r="A521" s="5" t="str">
        <f>HYPERLINK("https://www.oit.va.gov/Services/TRM/ToolPage.aspx?tid=13335^","WizTree")</f>
        <v>WizTree</v>
      </c>
      <c r="B521" s="4" t="s">
        <v>5638</v>
      </c>
      <c r="C521" s="8" t="s">
        <v>5</v>
      </c>
      <c r="D521" s="11" t="s">
        <v>8948</v>
      </c>
    </row>
    <row r="522" spans="1:4" ht="30">
      <c r="A522" s="5" t="str">
        <f>HYPERLINK("https://www.oit.va.gov/Services/TRM/ToolPage.aspx?tid=14949^","Antigen Plus")</f>
        <v>Antigen Plus</v>
      </c>
      <c r="B522" s="4" t="s">
        <v>3750</v>
      </c>
      <c r="C522" s="8" t="s">
        <v>5</v>
      </c>
      <c r="D522" s="11" t="s">
        <v>3751</v>
      </c>
    </row>
    <row r="523" spans="1:4" ht="30">
      <c r="A523" s="5" t="str">
        <f>HYPERLINK("https://www.oit.va.gov/Services/TRM/ToolPage.aspx?tid=11719^","Ant Renamer")</f>
        <v>Ant Renamer</v>
      </c>
      <c r="B523" s="4" t="s">
        <v>5051</v>
      </c>
      <c r="C523" s="8" t="s">
        <v>5</v>
      </c>
      <c r="D523" s="11" t="s">
        <v>2212</v>
      </c>
    </row>
    <row r="524" spans="1:4" ht="30">
      <c r="A524" s="5" t="str">
        <f>HYPERLINK("https://www.oit.va.gov/Services/TRM/ToolPage.aspx?tid=8745^","Angry Internet Protocol (IP) Scanner")</f>
        <v>Angry Internet Protocol (IP) Scanner</v>
      </c>
      <c r="B524" s="4" t="s">
        <v>6276</v>
      </c>
      <c r="C524" s="8" t="s">
        <v>5</v>
      </c>
      <c r="D524" s="11" t="s">
        <v>4694</v>
      </c>
    </row>
    <row r="525" spans="1:4" ht="30">
      <c r="A525" s="5" t="str">
        <f>HYPERLINK("https://www.oit.va.gov/Services/TRM/ToolPage.aspx?tid=13389^","PhotoFiltre Studio")</f>
        <v>PhotoFiltre Studio</v>
      </c>
      <c r="B525" s="4" t="s">
        <v>7003</v>
      </c>
      <c r="C525" s="8" t="s">
        <v>5</v>
      </c>
      <c r="D525" s="11" t="s">
        <v>7004</v>
      </c>
    </row>
    <row r="526" spans="1:4" ht="30">
      <c r="A526" s="5" t="str">
        <f>HYPERLINK("https://www.oit.va.gov/Services/TRM/ToolPage.aspx?tid=6427^","Freely Extensible Biomedical Record Linkage (FEBRL)")</f>
        <v>Freely Extensible Biomedical Record Linkage (FEBRL)</v>
      </c>
      <c r="B526" s="4" t="s">
        <v>7960</v>
      </c>
      <c r="C526" s="8" t="s">
        <v>5</v>
      </c>
      <c r="D526" s="11" t="s">
        <v>6694</v>
      </c>
    </row>
    <row r="527" spans="1:4" ht="30">
      <c r="A527" s="5" t="str">
        <f>HYPERLINK("https://www.oit.va.gov/Services/TRM/ToolPage.aspx?tid=13641^","Any Audio Converter")</f>
        <v>Any Audio Converter</v>
      </c>
      <c r="B527" s="4" t="s">
        <v>7451</v>
      </c>
      <c r="C527" s="8" t="s">
        <v>5</v>
      </c>
      <c r="D527" s="11" t="s">
        <v>3398</v>
      </c>
    </row>
    <row r="528" spans="1:4" ht="30">
      <c r="A528" s="5" t="str">
        <f>HYPERLINK("https://www.oit.va.gov/Services/TRM/ToolPage.aspx?tid=16510^","ESView")</f>
        <v>ESView</v>
      </c>
      <c r="B528" s="4" t="s">
        <v>4106</v>
      </c>
      <c r="C528" s="8" t="s">
        <v>5</v>
      </c>
      <c r="D528" s="11" t="s">
        <v>1550</v>
      </c>
    </row>
    <row r="529" spans="1:4" ht="30">
      <c r="A529" s="5" t="str">
        <f>HYPERLINK("https://www.oit.va.gov/Services/TRM/ToolPage.aspx?tid=13317^","AnyDesk")</f>
        <v>AnyDesk</v>
      </c>
      <c r="B529" s="4" t="s">
        <v>5052</v>
      </c>
      <c r="C529" s="8" t="s">
        <v>5</v>
      </c>
      <c r="D529" s="11" t="s">
        <v>5053</v>
      </c>
    </row>
    <row r="530" spans="1:4" ht="30">
      <c r="A530" s="5" t="str">
        <f>HYPERLINK("https://www.oit.va.gov/Services/TRM/ToolPage.aspx?tid=13292^","Any From Drawing (DWG) to Portable Document Format (PDF) Converter")</f>
        <v>Any From Drawing (DWG) to Portable Document Format (PDF) Converter</v>
      </c>
      <c r="B530" s="4" t="s">
        <v>7452</v>
      </c>
      <c r="C530" s="8" t="s">
        <v>5</v>
      </c>
      <c r="D530" s="11" t="s">
        <v>7453</v>
      </c>
    </row>
    <row r="531" spans="1:4" ht="30">
      <c r="A531" s="5" t="str">
        <f>HYPERLINK("https://www.oit.va.gov/Services/TRM/ToolPage.aspx?tid=7524^","AnyLogic")</f>
        <v>AnyLogic</v>
      </c>
      <c r="B531" s="4" t="s">
        <v>6177</v>
      </c>
      <c r="C531" s="8" t="s">
        <v>5</v>
      </c>
      <c r="D531" s="11" t="s">
        <v>6178</v>
      </c>
    </row>
    <row r="532" spans="1:4" ht="30">
      <c r="A532" s="5" t="str">
        <f>HYPERLINK("https://www.oit.va.gov/Services/TRM/ToolPage.aspx?tid=9341^","AnyMeeting Add-In for Microsoft Outlook")</f>
        <v>AnyMeeting Add-In for Microsoft Outlook</v>
      </c>
      <c r="B532" s="4" t="s">
        <v>6278</v>
      </c>
      <c r="C532" s="8" t="s">
        <v>5</v>
      </c>
      <c r="D532" s="11" t="s">
        <v>3263</v>
      </c>
    </row>
    <row r="533" spans="1:4" ht="30">
      <c r="A533" s="5" t="str">
        <f>HYPERLINK("https://www.oit.va.gov/Services/TRM/ToolPage.aspx?tid=13318^","AnyMP4 Blu-ray Player")</f>
        <v>AnyMP4 Blu-ray Player</v>
      </c>
      <c r="B533" s="4" t="s">
        <v>7456</v>
      </c>
      <c r="C533" s="8" t="s">
        <v>5</v>
      </c>
      <c r="D533" s="11" t="s">
        <v>7457</v>
      </c>
    </row>
    <row r="534" spans="1:4" ht="30">
      <c r="A534" s="5" t="str">
        <f>HYPERLINK("https://www.oit.va.gov/Services/TRM/ToolPage.aspx?tid=16274^","Print Wizard")</f>
        <v>Print Wizard</v>
      </c>
      <c r="B534" s="4" t="s">
        <v>4648</v>
      </c>
      <c r="C534" s="8" t="s">
        <v>5</v>
      </c>
      <c r="D534" s="11" t="s">
        <v>4649</v>
      </c>
    </row>
    <row r="535" spans="1:4" ht="30">
      <c r="A535" s="5" t="str">
        <f>HYPERLINK("https://www.oit.va.gov/Services/TRM/ToolPage.aspx?tid=15669^","AOMEI Backupper Technician Plus")</f>
        <v>AOMEI Backupper Technician Plus</v>
      </c>
      <c r="B535" s="4" t="s">
        <v>6279</v>
      </c>
      <c r="C535" s="8" t="s">
        <v>5</v>
      </c>
      <c r="D535" s="11" t="s">
        <v>6280</v>
      </c>
    </row>
    <row r="536" spans="1:4" ht="30">
      <c r="A536" s="5" t="str">
        <f>HYPERLINK("https://www.oit.va.gov/Services/TRM/ToolPage.aspx?tid=13397^","Partition Assistant (PA)")</f>
        <v>Partition Assistant (PA)</v>
      </c>
      <c r="B536" s="4" t="s">
        <v>6279</v>
      </c>
      <c r="C536" s="8" t="s">
        <v>5</v>
      </c>
      <c r="D536" s="11" t="s">
        <v>3402</v>
      </c>
    </row>
    <row r="537" spans="1:4" ht="30">
      <c r="A537" s="5" t="str">
        <f>HYPERLINK("https://www.oit.va.gov/Services/TRM/StandardPage.aspx?tid=151^","Aspect-Oriented Programming (AOP)")</f>
        <v>Aspect-Oriented Programming (AOP)</v>
      </c>
      <c r="B537" s="4" t="s">
        <v>7489</v>
      </c>
      <c r="C537" s="8" t="s">
        <v>5</v>
      </c>
      <c r="D537" s="11" t="s">
        <v>5678</v>
      </c>
    </row>
    <row r="538" spans="1:4" ht="30">
      <c r="A538" s="5" t="str">
        <f>HYPERLINK("https://www.oit.va.gov/Services/TRM/ToolPage.aspx?tid=9814^","Associated Press (AP) StyleGuard for Word")</f>
        <v>Associated Press (AP) StyleGuard for Word</v>
      </c>
      <c r="B538" s="4" t="s">
        <v>5060</v>
      </c>
      <c r="C538" s="8" t="s">
        <v>5</v>
      </c>
      <c r="D538" s="11" t="s">
        <v>248</v>
      </c>
    </row>
    <row r="539" spans="1:4" ht="30">
      <c r="A539" s="5" t="str">
        <f>HYPERLINK("https://www.oit.va.gov/Services/TRM/StandardPage.aspx?tid=5229^","Diagnostic and Statistical Manual of Mental Disorders (DSM)")</f>
        <v>Diagnostic and Statistical Manual of Mental Disorders (DSM)</v>
      </c>
      <c r="B539" s="4" t="s">
        <v>5752</v>
      </c>
      <c r="C539" s="8" t="s">
        <v>5</v>
      </c>
      <c r="D539" s="11" t="s">
        <v>5753</v>
      </c>
    </row>
    <row r="540" spans="1:4" ht="30">
      <c r="A540" s="5" t="str">
        <f>HYPERLINK("https://www.oit.va.gov/Services/TRM/ToolPage.aspx?tid=15357^","Apache Atlas")</f>
        <v>Apache Atlas</v>
      </c>
      <c r="B540" s="4" t="s">
        <v>1298</v>
      </c>
      <c r="C540" s="8" t="s">
        <v>5</v>
      </c>
      <c r="D540" s="11" t="s">
        <v>1299</v>
      </c>
    </row>
    <row r="541" spans="1:4" ht="30">
      <c r="A541" s="5" t="str">
        <f>HYPERLINK("https://www.oit.va.gov/Services/TRM/ToolPage.aspx?tid=6856^","OpenOffice")</f>
        <v>OpenOffice</v>
      </c>
      <c r="B541" s="4" t="s">
        <v>1298</v>
      </c>
      <c r="C541" s="8" t="s">
        <v>5</v>
      </c>
      <c r="D541" s="11" t="s">
        <v>1230</v>
      </c>
    </row>
    <row r="542" spans="1:4" ht="30">
      <c r="A542" s="5" t="str">
        <f>HYPERLINK("https://www.oit.va.gov/Services/TRM/ToolPage.aspx?tid=15919^","Apache Freemarker")</f>
        <v>Apache Freemarker</v>
      </c>
      <c r="B542" s="4" t="s">
        <v>1298</v>
      </c>
      <c r="C542" s="8" t="s">
        <v>5</v>
      </c>
      <c r="D542" s="11" t="s">
        <v>3755</v>
      </c>
    </row>
    <row r="543" spans="1:4" ht="30">
      <c r="A543" s="5" t="str">
        <f>HYPERLINK("https://www.oit.va.gov/Services/TRM/ToolPage.aspx?tid=15378^","Apache Web Services Security for Java (WSS4J)")</f>
        <v>Apache Web Services Security for Java (WSS4J)</v>
      </c>
      <c r="B543" s="4" t="s">
        <v>1298</v>
      </c>
      <c r="C543" s="8" t="s">
        <v>5</v>
      </c>
      <c r="D543" s="11" t="s">
        <v>3737</v>
      </c>
    </row>
    <row r="544" spans="1:4" ht="30">
      <c r="A544" s="5" t="str">
        <f>HYPERLINK("https://www.oit.va.gov/Services/TRM/ToolPage.aspx?tid=10212^","Apache Neethi")</f>
        <v>Apache Neethi</v>
      </c>
      <c r="B544" s="4" t="s">
        <v>1298</v>
      </c>
      <c r="C544" s="8" t="s">
        <v>5</v>
      </c>
      <c r="D544" s="11" t="s">
        <v>84</v>
      </c>
    </row>
    <row r="545" spans="1:4" ht="30">
      <c r="A545" s="5" t="str">
        <f>HYPERLINK("https://www.oit.va.gov/Services/TRM/ToolPage.aspx?tid=10052^","CouchDB")</f>
        <v>CouchDB</v>
      </c>
      <c r="B545" s="4" t="s">
        <v>1298</v>
      </c>
      <c r="C545" s="8" t="s">
        <v>5</v>
      </c>
      <c r="D545" s="11" t="s">
        <v>3314</v>
      </c>
    </row>
    <row r="546" spans="1:4" ht="30">
      <c r="A546" s="5" t="str">
        <f>HYPERLINK("https://www.oit.va.gov/Services/TRM/ToolPage.aspx?tid=13487^","Apache Felix")</f>
        <v>Apache Felix</v>
      </c>
      <c r="B546" s="4" t="s">
        <v>1298</v>
      </c>
      <c r="C546" s="8" t="s">
        <v>5</v>
      </c>
      <c r="D546" s="11" t="s">
        <v>1145</v>
      </c>
    </row>
    <row r="547" spans="1:4" ht="30">
      <c r="A547" s="5" t="str">
        <f>HYPERLINK("https://www.oit.va.gov/Services/TRM/ToolPage.aspx?tid=13319^","Apache Portable Runtime (APR)")</f>
        <v>Apache Portable Runtime (APR)</v>
      </c>
      <c r="B547" s="4" t="s">
        <v>1298</v>
      </c>
      <c r="C547" s="8" t="s">
        <v>5</v>
      </c>
      <c r="D547" s="11" t="s">
        <v>6284</v>
      </c>
    </row>
    <row r="548" spans="1:4" ht="30">
      <c r="A548" s="5" t="str">
        <f>HYPERLINK("https://www.oit.va.gov/Services/TRM/ToolPage.aspx?tid=13663^","Apache Portable Runtime (APR)-Utility")</f>
        <v>Apache Portable Runtime (APR)-Utility</v>
      </c>
      <c r="B548" s="4" t="s">
        <v>1298</v>
      </c>
      <c r="C548" s="8" t="s">
        <v>5</v>
      </c>
      <c r="D548" s="11" t="s">
        <v>6285</v>
      </c>
    </row>
    <row r="549" spans="1:4" ht="30">
      <c r="A549" s="5" t="str">
        <f>HYPERLINK("https://www.oit.va.gov/Services/TRM/ToolPage.aspx?tid=10176^","Apache Zeppelin")</f>
        <v>Apache Zeppelin</v>
      </c>
      <c r="B549" s="4" t="s">
        <v>1298</v>
      </c>
      <c r="C549" s="8" t="s">
        <v>5</v>
      </c>
      <c r="D549" s="11" t="s">
        <v>7459</v>
      </c>
    </row>
    <row r="550" spans="1:4" ht="30">
      <c r="A550" s="5" t="str">
        <f>HYPERLINK("https://www.oit.va.gov/Services/TRM/StandardPage.aspx?tid=8497^","Object-Graph Navigation Language")</f>
        <v>Object-Graph Navigation Language</v>
      </c>
      <c r="B550" s="4" t="s">
        <v>8350</v>
      </c>
      <c r="C550" s="8" t="s">
        <v>5</v>
      </c>
      <c r="D550" s="11" t="s">
        <v>153</v>
      </c>
    </row>
    <row r="551" spans="1:4" ht="30">
      <c r="A551" s="5" t="str">
        <f>HYPERLINK("https://www.oit.va.gov/Services/TRM/ToolPage.aspx?tid=14169^","XAMPP")</f>
        <v>XAMPP</v>
      </c>
      <c r="B551" s="4" t="s">
        <v>3644</v>
      </c>
      <c r="C551" s="8" t="s">
        <v>5</v>
      </c>
      <c r="D551" s="11" t="s">
        <v>3645</v>
      </c>
    </row>
    <row r="552" spans="1:4" ht="30">
      <c r="A552" s="5" t="str">
        <f>HYPERLINK("https://www.oit.va.gov/Services/TRM/ToolPage.aspx?tid=6933^","Apache CXF")</f>
        <v>Apache CXF</v>
      </c>
      <c r="B552" s="4" t="s">
        <v>569</v>
      </c>
      <c r="C552" s="8" t="s">
        <v>5</v>
      </c>
      <c r="D552" s="11" t="s">
        <v>332</v>
      </c>
    </row>
    <row r="553" spans="1:4" ht="30">
      <c r="A553" s="5" t="str">
        <f>HYPERLINK("https://www.oit.va.gov/Services/TRM/ToolPage.aspx?tid=9476^","Apache Jena")</f>
        <v>Apache Jena</v>
      </c>
      <c r="B553" s="4" t="s">
        <v>569</v>
      </c>
      <c r="C553" s="8" t="s">
        <v>5</v>
      </c>
      <c r="D553" s="11" t="s">
        <v>570</v>
      </c>
    </row>
    <row r="554" spans="1:4" ht="30">
      <c r="A554" s="5" t="str">
        <f>HYPERLINK("https://www.oit.va.gov/Services/TRM/ToolPage.aspx?tid=6238^","Apache Multipurpose Infrastructure for Network Applications (MINA)")</f>
        <v>Apache Multipurpose Infrastructure for Network Applications (MINA)</v>
      </c>
      <c r="B554" s="4" t="s">
        <v>569</v>
      </c>
      <c r="C554" s="8" t="s">
        <v>5</v>
      </c>
      <c r="D554" s="11" t="s">
        <v>571</v>
      </c>
    </row>
    <row r="555" spans="1:4" ht="30">
      <c r="A555" s="5" t="str">
        <f>HYPERLINK("https://www.oit.va.gov/Services/TRM/ToolPage.aspx?tid=10273^","Apache Spark")</f>
        <v>Apache Spark</v>
      </c>
      <c r="B555" s="4" t="s">
        <v>569</v>
      </c>
      <c r="C555" s="8" t="s">
        <v>5</v>
      </c>
      <c r="D555" s="11" t="s">
        <v>572</v>
      </c>
    </row>
    <row r="556" spans="1:4" ht="30">
      <c r="A556" s="5" t="str">
        <f>HYPERLINK("https://www.oit.va.gov/Services/TRM/ToolPage.aspx?tid=5451^","Apache Tomcat")</f>
        <v>Apache Tomcat</v>
      </c>
      <c r="B556" s="4" t="s">
        <v>569</v>
      </c>
      <c r="C556" s="8" t="s">
        <v>5</v>
      </c>
      <c r="D556" s="11" t="s">
        <v>573</v>
      </c>
    </row>
    <row r="557" spans="1:4" ht="30">
      <c r="A557" s="5" t="str">
        <f>HYPERLINK("https://www.oit.va.gov/Services/TRM/ToolPage.aspx?tid=9219^","Apache Unstructured Information Management Architecture (UIMA)")</f>
        <v>Apache Unstructured Information Management Architecture (UIMA)</v>
      </c>
      <c r="B557" s="4" t="s">
        <v>569</v>
      </c>
      <c r="C557" s="8" t="s">
        <v>5</v>
      </c>
      <c r="D557" s="11" t="s">
        <v>574</v>
      </c>
    </row>
    <row r="558" spans="1:4" ht="30">
      <c r="A558" s="5" t="str">
        <f>HYPERLINK("https://www.oit.va.gov/Services/TRM/ToolPage.aspx?tid=6572^","Apache Cocoon")</f>
        <v>Apache Cocoon</v>
      </c>
      <c r="B558" s="4" t="s">
        <v>569</v>
      </c>
      <c r="C558" s="8" t="s">
        <v>5</v>
      </c>
      <c r="D558" s="11" t="s">
        <v>1300</v>
      </c>
    </row>
    <row r="559" spans="1:4" ht="30">
      <c r="A559" s="5" t="str">
        <f>HYPERLINK("https://www.oit.va.gov/Services/TRM/ToolPage.aspx?tid=7968^","Apache Commons Collections")</f>
        <v>Apache Commons Collections</v>
      </c>
      <c r="B559" s="4" t="s">
        <v>569</v>
      </c>
      <c r="C559" s="8" t="s">
        <v>5</v>
      </c>
      <c r="D559" s="11" t="s">
        <v>961</v>
      </c>
    </row>
    <row r="560" spans="1:4" ht="30">
      <c r="A560" s="5" t="str">
        <f>HYPERLINK("https://www.oit.va.gov/Services/TRM/ToolPage.aspx?tid=13406^","Apache Directory Studio")</f>
        <v>Apache Directory Studio</v>
      </c>
      <c r="B560" s="4" t="s">
        <v>569</v>
      </c>
      <c r="C560" s="8" t="s">
        <v>5</v>
      </c>
      <c r="D560" s="11" t="s">
        <v>878</v>
      </c>
    </row>
    <row r="561" spans="1:4" ht="30">
      <c r="A561" s="5" t="str">
        <f>HYPERLINK("https://www.oit.va.gov/Services/TRM/ToolPage.aspx?tid=5009^","Apache Hypertext Transfer Protocol (HTTP) Server")</f>
        <v>Apache Hypertext Transfer Protocol (HTTP) Server</v>
      </c>
      <c r="B561" s="4" t="s">
        <v>569</v>
      </c>
      <c r="C561" s="8" t="s">
        <v>5</v>
      </c>
      <c r="D561" s="11" t="s">
        <v>1301</v>
      </c>
    </row>
    <row r="562" spans="1:4" ht="30">
      <c r="A562" s="5" t="str">
        <f>HYPERLINK("https://www.oit.va.gov/Services/TRM/ToolPage.aspx?tid=13728^","Apache Jackrabbit")</f>
        <v>Apache Jackrabbit</v>
      </c>
      <c r="B562" s="4" t="s">
        <v>569</v>
      </c>
      <c r="C562" s="8" t="s">
        <v>5</v>
      </c>
      <c r="D562" s="11" t="s">
        <v>1302</v>
      </c>
    </row>
    <row r="563" spans="1:4" ht="30">
      <c r="A563" s="5" t="str">
        <f>HYPERLINK("https://www.oit.va.gov/Services/TRM/ToolPage.aspx?tid=9786^","Apache Kafka")</f>
        <v>Apache Kafka</v>
      </c>
      <c r="B563" s="4" t="s">
        <v>569</v>
      </c>
      <c r="C563" s="8" t="s">
        <v>5</v>
      </c>
      <c r="D563" s="11" t="s">
        <v>1303</v>
      </c>
    </row>
    <row r="564" spans="1:4" ht="30">
      <c r="A564" s="5" t="str">
        <f>HYPERLINK("https://www.oit.va.gov/Services/TRM/ToolPage.aspx?tid=15^","Log4j")</f>
        <v>Log4j</v>
      </c>
      <c r="B564" s="4" t="s">
        <v>569</v>
      </c>
      <c r="C564" s="8" t="s">
        <v>5</v>
      </c>
      <c r="D564" s="11" t="s">
        <v>1700</v>
      </c>
    </row>
    <row r="565" spans="1:4" ht="30">
      <c r="A565" s="5" t="str">
        <f>HYPERLINK("https://www.oit.va.gov/Services/TRM/ToolPage.aspx?tid=9294^","Doxia")</f>
        <v>Doxia</v>
      </c>
      <c r="B565" s="4" t="s">
        <v>569</v>
      </c>
      <c r="C565" s="8" t="s">
        <v>5</v>
      </c>
      <c r="D565" s="11" t="s">
        <v>2114</v>
      </c>
    </row>
    <row r="566" spans="1:4" ht="30">
      <c r="A566" s="5" t="str">
        <f>HYPERLINK("https://www.oit.va.gov/Services/TRM/ToolPage.aspx?tid=10298^","Apache Extensible Markup Language Schema (XMLSchema)")</f>
        <v>Apache Extensible Markup Language Schema (XMLSchema)</v>
      </c>
      <c r="B566" s="4" t="s">
        <v>569</v>
      </c>
      <c r="C566" s="8" t="s">
        <v>5</v>
      </c>
      <c r="D566" s="11" t="s">
        <v>2373</v>
      </c>
    </row>
    <row r="567" spans="1:4" ht="30">
      <c r="A567" s="5" t="str">
        <f>HYPERLINK("https://www.oit.va.gov/Services/TRM/ToolPage.aspx?tid=5004^","Apache Flex Software Development Kit (SDK)")</f>
        <v>Apache Flex Software Development Kit (SDK)</v>
      </c>
      <c r="B567" s="4" t="s">
        <v>569</v>
      </c>
      <c r="C567" s="8" t="s">
        <v>5</v>
      </c>
      <c r="D567" s="11" t="s">
        <v>142</v>
      </c>
    </row>
    <row r="568" spans="1:4" ht="30">
      <c r="A568" s="5" t="str">
        <f>HYPERLINK("https://www.oit.va.gov/Services/TRM/ToolPage.aspx?tid=9787^","Apache Lucene.Net")</f>
        <v>Apache Lucene.Net</v>
      </c>
      <c r="B568" s="4" t="s">
        <v>569</v>
      </c>
      <c r="C568" s="8" t="s">
        <v>5</v>
      </c>
      <c r="D568" s="11" t="s">
        <v>2374</v>
      </c>
    </row>
    <row r="569" spans="1:4" ht="30">
      <c r="A569" s="5" t="str">
        <f>HYPERLINK("https://www.oit.va.gov/Services/TRM/ToolPage.aspx?tid=15257^","Apache Portable Document Format (PDF) Box")</f>
        <v>Apache Portable Document Format (PDF) Box</v>
      </c>
      <c r="B569" s="4" t="s">
        <v>569</v>
      </c>
      <c r="C569" s="8" t="s">
        <v>5</v>
      </c>
      <c r="D569" s="11" t="s">
        <v>2375</v>
      </c>
    </row>
    <row r="570" spans="1:4" ht="30">
      <c r="A570" s="5" t="str">
        <f>HYPERLINK("https://www.oit.va.gov/Services/TRM/ToolPage.aspx?tid=21^","Apache Struts")</f>
        <v>Apache Struts</v>
      </c>
      <c r="B570" s="4" t="s">
        <v>569</v>
      </c>
      <c r="C570" s="8" t="s">
        <v>5</v>
      </c>
      <c r="D570" s="11" t="s">
        <v>2376</v>
      </c>
    </row>
    <row r="571" spans="1:4" ht="30">
      <c r="A571" s="5" t="str">
        <f>HYPERLINK("https://www.oit.va.gov/Services/TRM/StandardPage.aspx?tid=5197^","Java Data Objects (JDO)")</f>
        <v>Java Data Objects (JDO)</v>
      </c>
      <c r="B571" s="4" t="s">
        <v>569</v>
      </c>
      <c r="C571" s="8" t="s">
        <v>5</v>
      </c>
      <c r="D571" s="11" t="s">
        <v>90</v>
      </c>
    </row>
    <row r="572" spans="1:4" ht="30">
      <c r="A572" s="5" t="str">
        <f>HYPERLINK("https://www.oit.va.gov/Services/TRM/ToolPage.aspx?tid=1101^","Maven")</f>
        <v>Maven</v>
      </c>
      <c r="B572" s="4" t="s">
        <v>569</v>
      </c>
      <c r="C572" s="8" t="s">
        <v>5</v>
      </c>
      <c r="D572" s="11" t="s">
        <v>2753</v>
      </c>
    </row>
    <row r="573" spans="1:4" ht="30">
      <c r="A573" s="5" t="str">
        <f>HYPERLINK("https://www.oit.va.gov/Services/TRM/ToolPage.aspx?tid=14714^","Apache Hadoop")</f>
        <v>Apache Hadoop</v>
      </c>
      <c r="B573" s="4" t="s">
        <v>569</v>
      </c>
      <c r="C573" s="8" t="s">
        <v>5</v>
      </c>
      <c r="D573" s="11" t="s">
        <v>3148</v>
      </c>
    </row>
    <row r="574" spans="1:4" ht="30">
      <c r="A574" s="5" t="str">
        <f>HYPERLINK("https://www.oit.va.gov/Services/TRM/ToolPage.aspx?tid=5027^","Velocity Tools")</f>
        <v>Velocity Tools</v>
      </c>
      <c r="B574" s="4" t="s">
        <v>569</v>
      </c>
      <c r="C574" s="8" t="s">
        <v>5</v>
      </c>
      <c r="D574" s="11" t="s">
        <v>3608</v>
      </c>
    </row>
    <row r="575" spans="1:4" ht="30">
      <c r="A575" s="5" t="str">
        <f>HYPERLINK("https://www.oit.va.gov/Services/TRM/ToolPage.aspx?tid=10651^","Apache ActiveMQ")</f>
        <v>Apache ActiveMQ</v>
      </c>
      <c r="B575" s="4" t="s">
        <v>569</v>
      </c>
      <c r="C575" s="8" t="s">
        <v>5</v>
      </c>
      <c r="D575" s="11" t="s">
        <v>3753</v>
      </c>
    </row>
    <row r="576" spans="1:4" ht="30">
      <c r="A576" s="5" t="str">
        <f>HYPERLINK("https://www.oit.va.gov/Services/TRM/ToolPage.aspx?tid=16178^","Apache Airflow")</f>
        <v>Apache Airflow</v>
      </c>
      <c r="B576" s="4" t="s">
        <v>569</v>
      </c>
      <c r="C576" s="8" t="s">
        <v>5</v>
      </c>
      <c r="D576" s="11" t="s">
        <v>3754</v>
      </c>
    </row>
    <row r="577" spans="1:4" ht="30">
      <c r="A577" s="5" t="str">
        <f>HYPERLINK("https://www.oit.va.gov/Services/TRM/ToolPage.aspx?tid=9243^","Apache Commons Validator (CV)")</f>
        <v>Apache Commons Validator (CV)</v>
      </c>
      <c r="B577" s="4" t="s">
        <v>569</v>
      </c>
      <c r="C577" s="8" t="s">
        <v>5</v>
      </c>
      <c r="D577" s="11" t="s">
        <v>3698</v>
      </c>
    </row>
    <row r="578" spans="1:4" ht="30">
      <c r="A578" s="5" t="str">
        <f>HYPERLINK("https://www.oit.va.gov/Services/TRM/ToolPage.aspx?tid=6687^","Apache Cordova")</f>
        <v>Apache Cordova</v>
      </c>
      <c r="B578" s="4" t="s">
        <v>569</v>
      </c>
      <c r="C578" s="8" t="s">
        <v>5</v>
      </c>
      <c r="D578" s="11" t="s">
        <v>563</v>
      </c>
    </row>
    <row r="579" spans="1:4" ht="30">
      <c r="A579" s="5" t="str">
        <f>HYPERLINK("https://www.oit.va.gov/Services/TRM/ToolPage.aspx?tid=6456^","Apache James (Java Apache Mail Enterprise Server)")</f>
        <v>Apache James (Java Apache Mail Enterprise Server)</v>
      </c>
      <c r="B579" s="4" t="s">
        <v>569</v>
      </c>
      <c r="C579" s="8" t="s">
        <v>5</v>
      </c>
      <c r="D579" s="11" t="s">
        <v>353</v>
      </c>
    </row>
    <row r="580" spans="1:4" ht="30">
      <c r="A580" s="5" t="str">
        <f>HYPERLINK("https://www.oit.va.gov/Services/TRM/ToolPage.aspx?tid=7039^","Apache JMeter")</f>
        <v>Apache JMeter</v>
      </c>
      <c r="B580" s="4" t="s">
        <v>569</v>
      </c>
      <c r="C580" s="8" t="s">
        <v>5</v>
      </c>
      <c r="D580" s="11" t="s">
        <v>1262</v>
      </c>
    </row>
    <row r="581" spans="1:4" ht="30">
      <c r="A581" s="5" t="str">
        <f>HYPERLINK("https://www.oit.va.gov/Services/TRM/ToolPage.aspx?tid=15902^","Apache Kafka Cluster Visualization (AKHQ)")</f>
        <v>Apache Kafka Cluster Visualization (AKHQ)</v>
      </c>
      <c r="B581" s="4" t="s">
        <v>569</v>
      </c>
      <c r="C581" s="8" t="s">
        <v>5</v>
      </c>
      <c r="D581" s="11" t="s">
        <v>567</v>
      </c>
    </row>
    <row r="582" spans="1:4" ht="30">
      <c r="A582" s="5" t="str">
        <f>HYPERLINK("https://www.oit.va.gov/Services/TRM/ToolPage.aspx?tid=16667^","Apache Nifi")</f>
        <v>Apache Nifi</v>
      </c>
      <c r="B582" s="4" t="s">
        <v>569</v>
      </c>
      <c r="C582" s="8" t="s">
        <v>5</v>
      </c>
      <c r="D582" s="11" t="s">
        <v>3756</v>
      </c>
    </row>
    <row r="583" spans="1:4" ht="30">
      <c r="A583" s="5" t="str">
        <f>HYPERLINK("https://www.oit.va.gov/Services/TRM/ToolPage.aspx?tid=5824^","NetBeans	")</f>
        <v xml:space="preserve">NetBeans	</v>
      </c>
      <c r="B583" s="4" t="s">
        <v>569</v>
      </c>
      <c r="C583" s="8" t="s">
        <v>5</v>
      </c>
      <c r="D583" s="11" t="s">
        <v>4478</v>
      </c>
    </row>
    <row r="584" spans="1:4" ht="30">
      <c r="A584" s="5" t="str">
        <f>HYPERLINK("https://www.oit.va.gov/Services/TRM/ToolPage.aspx?tid=7005^","Solr")</f>
        <v>Solr</v>
      </c>
      <c r="B584" s="4" t="s">
        <v>569</v>
      </c>
      <c r="C584" s="8" t="s">
        <v>5</v>
      </c>
      <c r="D584" s="11" t="s">
        <v>4821</v>
      </c>
    </row>
    <row r="585" spans="1:4" ht="30">
      <c r="A585" s="5" t="str">
        <f>HYPERLINK("https://www.oit.va.gov/Services/TRM/ToolPage.aspx?tid=9339^","Velocity Engine")</f>
        <v>Velocity Engine</v>
      </c>
      <c r="B585" s="4" t="s">
        <v>569</v>
      </c>
      <c r="C585" s="8" t="s">
        <v>5</v>
      </c>
      <c r="D585" s="11" t="s">
        <v>4955</v>
      </c>
    </row>
    <row r="586" spans="1:4" ht="30">
      <c r="A586" s="5" t="str">
        <f>HYPERLINK("https://www.oit.va.gov/Services/TRM/ToolPage.aspx?tid=5006^","Apache Flex BlazeDS")</f>
        <v>Apache Flex BlazeDS</v>
      </c>
      <c r="B586" s="4" t="s">
        <v>569</v>
      </c>
      <c r="C586" s="8" t="s">
        <v>5</v>
      </c>
      <c r="D586" s="11" t="s">
        <v>5054</v>
      </c>
    </row>
    <row r="587" spans="1:4" ht="30">
      <c r="A587" s="5" t="str">
        <f>HYPERLINK("https://www.oit.va.gov/Services/TRM/ToolPage.aspx?tid=5793^","Apache MyFaces Core")</f>
        <v>Apache MyFaces Core</v>
      </c>
      <c r="B587" s="4" t="s">
        <v>569</v>
      </c>
      <c r="C587" s="8" t="s">
        <v>5</v>
      </c>
      <c r="D587" s="11" t="s">
        <v>570</v>
      </c>
    </row>
    <row r="588" spans="1:4" ht="30">
      <c r="A588" s="5" t="str">
        <f>HYPERLINK("https://www.oit.va.gov/Services/TRM/ToolPage.aspx?tid=6240^","Apache Tiles")</f>
        <v>Apache Tiles</v>
      </c>
      <c r="B588" s="4" t="s">
        <v>569</v>
      </c>
      <c r="C588" s="8" t="s">
        <v>5</v>
      </c>
      <c r="D588" s="11" t="s">
        <v>5055</v>
      </c>
    </row>
    <row r="589" spans="1:4" ht="30">
      <c r="A589" s="5" t="str">
        <f>HYPERLINK("https://www.oit.va.gov/Services/TRM/ToolPage.aspx?tid=13555^","Apache YARN")</f>
        <v>Apache YARN</v>
      </c>
      <c r="B589" s="4" t="s">
        <v>569</v>
      </c>
      <c r="C589" s="8" t="s">
        <v>5</v>
      </c>
      <c r="D589" s="11" t="s">
        <v>3398</v>
      </c>
    </row>
    <row r="590" spans="1:4" ht="30">
      <c r="A590" s="5" t="str">
        <f>HYPERLINK("https://www.oit.va.gov/Services/TRM/ToolPage.aspx?tid=8903^","Clinical Text Analysis and Knowledge Extraction System (cTAKES)")</f>
        <v>Clinical Text Analysis and Knowledge Extraction System (cTAKES)</v>
      </c>
      <c r="B590" s="4" t="s">
        <v>569</v>
      </c>
      <c r="C590" s="8" t="s">
        <v>5</v>
      </c>
      <c r="D590" s="11" t="s">
        <v>5103</v>
      </c>
    </row>
    <row r="591" spans="1:4" ht="30">
      <c r="A591" s="5" t="str">
        <f>HYPERLINK("https://www.oit.va.gov/Services/TRM/ToolPage.aspx?tid=23^","Another Neat Tool (ANT)")</f>
        <v>Another Neat Tool (ANT)</v>
      </c>
      <c r="B591" s="4" t="s">
        <v>569</v>
      </c>
      <c r="C591" s="8" t="s">
        <v>5</v>
      </c>
      <c r="D591" s="11" t="s">
        <v>431</v>
      </c>
    </row>
    <row r="592" spans="1:4" ht="30">
      <c r="A592" s="5" t="str">
        <f>HYPERLINK("https://www.oit.va.gov/Services/TRM/ToolPage.aspx?tid=7091^","Apache Axis2")</f>
        <v>Apache Axis2</v>
      </c>
      <c r="B592" s="4" t="s">
        <v>569</v>
      </c>
      <c r="C592" s="8" t="s">
        <v>5</v>
      </c>
      <c r="D592" s="11" t="s">
        <v>5641</v>
      </c>
    </row>
    <row r="593" spans="1:4" ht="30">
      <c r="A593" s="5" t="str">
        <f>HYPERLINK("https://www.oit.va.gov/Services/TRM/ToolPage.aspx?tid=16864^","Apache Flink")</f>
        <v>Apache Flink</v>
      </c>
      <c r="B593" s="4" t="s">
        <v>569</v>
      </c>
      <c r="C593" s="8" t="s">
        <v>5</v>
      </c>
      <c r="D593" s="11" t="s">
        <v>4351</v>
      </c>
    </row>
    <row r="594" spans="1:4" ht="30">
      <c r="A594" s="5" t="str">
        <f>HYPERLINK("https://www.oit.va.gov/Services/TRM/ToolPage.aspx?tid=305^","Apache XMLBeans")</f>
        <v>Apache XMLBeans</v>
      </c>
      <c r="B594" s="4" t="s">
        <v>569</v>
      </c>
      <c r="C594" s="8" t="s">
        <v>5</v>
      </c>
      <c r="D594" s="11" t="s">
        <v>5161</v>
      </c>
    </row>
    <row r="595" spans="1:4" ht="30">
      <c r="A595" s="5" t="str">
        <f>HYPERLINK("https://www.oit.va.gov/Services/TRM/ToolPage.aspx?tid=9590^","Apache ZooKeeper")</f>
        <v>Apache ZooKeeper</v>
      </c>
      <c r="B595" s="4" t="s">
        <v>569</v>
      </c>
      <c r="C595" s="8" t="s">
        <v>5</v>
      </c>
      <c r="D595" s="11" t="s">
        <v>5642</v>
      </c>
    </row>
    <row r="596" spans="1:4" ht="30">
      <c r="A596" s="5" t="str">
        <f>HYPERLINK("https://www.oit.va.gov/Services/TRM/ToolPage.aspx?tid=6194^","Apache Extensible Markup Language (XML) Security for Java")</f>
        <v>Apache Extensible Markup Language (XML) Security for Java</v>
      </c>
      <c r="B596" s="4" t="s">
        <v>569</v>
      </c>
      <c r="C596" s="8" t="s">
        <v>5</v>
      </c>
      <c r="D596" s="11" t="s">
        <v>6281</v>
      </c>
    </row>
    <row r="597" spans="1:4" ht="30">
      <c r="A597" s="5" t="str">
        <f>HYPERLINK("https://www.oit.va.gov/Services/TRM/ToolPage.aspx?tid=10211^","Apache Geronimo")</f>
        <v>Apache Geronimo</v>
      </c>
      <c r="B597" s="4" t="s">
        <v>569</v>
      </c>
      <c r="C597" s="8" t="s">
        <v>5</v>
      </c>
      <c r="D597" s="11" t="s">
        <v>6282</v>
      </c>
    </row>
    <row r="598" spans="1:4" ht="30">
      <c r="A598" s="5" t="str">
        <f>HYPERLINK("https://www.oit.va.gov/Services/TRM/ToolPage.aspx?tid=6239^","Apache Pivot")</f>
        <v>Apache Pivot</v>
      </c>
      <c r="B598" s="4" t="s">
        <v>569</v>
      </c>
      <c r="C598" s="8" t="s">
        <v>5</v>
      </c>
      <c r="D598" s="11" t="s">
        <v>6283</v>
      </c>
    </row>
    <row r="599" spans="1:4" ht="30">
      <c r="A599" s="5" t="str">
        <f>HYPERLINK("https://www.oit.va.gov/Services/TRM/StandardPage.aspx?tid=9262^","Groovy")</f>
        <v>Groovy</v>
      </c>
      <c r="B599" s="4" t="s">
        <v>569</v>
      </c>
      <c r="C599" s="8" t="s">
        <v>5</v>
      </c>
      <c r="D599" s="11" t="s">
        <v>6671</v>
      </c>
    </row>
    <row r="600" spans="1:4" ht="30">
      <c r="A600" s="5" t="str">
        <f>HYPERLINK("https://www.oit.va.gov/Services/TRM/ToolPage.aspx?tid=6471^","LOG4NET")</f>
        <v>LOG4NET</v>
      </c>
      <c r="B600" s="4" t="s">
        <v>569</v>
      </c>
      <c r="C600" s="8" t="s">
        <v>5</v>
      </c>
      <c r="D600" s="11" t="s">
        <v>905</v>
      </c>
    </row>
    <row r="601" spans="1:4" ht="30">
      <c r="A601" s="5" t="str">
        <f>HYPERLINK("https://www.oit.va.gov/Services/TRM/ToolPage.aspx?tid=8521^","Apache Avalon")</f>
        <v>Apache Avalon</v>
      </c>
      <c r="B601" s="4" t="s">
        <v>569</v>
      </c>
      <c r="C601" s="8" t="s">
        <v>5</v>
      </c>
      <c r="D601" s="11" t="s">
        <v>7458</v>
      </c>
    </row>
    <row r="602" spans="1:4" ht="30">
      <c r="A602" s="5" t="str">
        <f>HYPERLINK("https://www.oit.va.gov/Services/TRM/ToolPage.aspx?tid=9774^","Apache Storm")</f>
        <v>Apache Storm</v>
      </c>
      <c r="B602" s="4" t="s">
        <v>569</v>
      </c>
      <c r="C602" s="8" t="s">
        <v>5</v>
      </c>
      <c r="D602" s="11" t="s">
        <v>5160</v>
      </c>
    </row>
    <row r="603" spans="1:4" ht="30">
      <c r="A603" s="5" t="str">
        <f>HYPERLINK("https://www.oit.va.gov/Services/TRM/ToolPage.aspx?tid=6573^","Apache Subversion")</f>
        <v>Apache Subversion</v>
      </c>
      <c r="B603" s="4" t="s">
        <v>569</v>
      </c>
      <c r="C603" s="8" t="s">
        <v>5</v>
      </c>
      <c r="D603" s="11" t="s">
        <v>5272</v>
      </c>
    </row>
    <row r="604" spans="1:4" ht="30">
      <c r="A604" s="5" t="str">
        <f>HYPERLINK("https://www.oit.va.gov/Services/TRM/ToolPage.aspx?tid=8913^","JaxME")</f>
        <v>JaxME</v>
      </c>
      <c r="B604" s="4" t="s">
        <v>569</v>
      </c>
      <c r="C604" s="8" t="s">
        <v>5</v>
      </c>
      <c r="D604" s="11" t="s">
        <v>8124</v>
      </c>
    </row>
    <row r="605" spans="1:4" ht="30">
      <c r="A605" s="5" t="str">
        <f>HYPERLINK("https://www.oit.va.gov/Services/TRM/ToolPage.aspx?tid=13403^","SpamAssassin")</f>
        <v>SpamAssassin</v>
      </c>
      <c r="B605" s="4" t="s">
        <v>569</v>
      </c>
      <c r="C605" s="8" t="s">
        <v>5</v>
      </c>
      <c r="D605" s="11" t="s">
        <v>7219</v>
      </c>
    </row>
    <row r="606" spans="1:4" ht="30">
      <c r="A606" s="5" t="str">
        <f>HYPERLINK("https://www.oit.va.gov/Services/TRM/ToolPage.aspx?tid=14299^","Apache TomEE")</f>
        <v>Apache TomEE</v>
      </c>
      <c r="B606" s="4" t="s">
        <v>80</v>
      </c>
      <c r="C606" s="8" t="s">
        <v>5</v>
      </c>
      <c r="D606" s="11" t="s">
        <v>81</v>
      </c>
    </row>
    <row r="607" spans="1:4" ht="30">
      <c r="A607" s="5" t="str">
        <f>HYPERLINK("https://www.oit.va.gov/Services/TRM/ToolPage.aspx?tid=7726^","Apache Cassandra")</f>
        <v>Apache Cassandra</v>
      </c>
      <c r="B607" s="4" t="s">
        <v>80</v>
      </c>
      <c r="C607" s="8" t="s">
        <v>5</v>
      </c>
      <c r="D607" s="11" t="s">
        <v>3147</v>
      </c>
    </row>
    <row r="608" spans="1:4" ht="30">
      <c r="A608" s="5" t="str">
        <f>HYPERLINK("https://www.oit.va.gov/Services/TRM/ToolPage.aspx?tid=13894^","PDFmerge")</f>
        <v>PDFmerge</v>
      </c>
      <c r="B608" s="4" t="s">
        <v>8411</v>
      </c>
      <c r="C608" s="8" t="s">
        <v>5</v>
      </c>
      <c r="D608" s="11" t="s">
        <v>6852</v>
      </c>
    </row>
    <row r="609" spans="1:4" ht="30">
      <c r="A609" s="5" t="str">
        <f>HYPERLINK("https://www.oit.va.gov/Services/TRM/ToolPage.aspx?tid=5693^","PowerChute Serial Shutdown")</f>
        <v>PowerChute Serial Shutdown</v>
      </c>
      <c r="B609" s="4" t="s">
        <v>4633</v>
      </c>
      <c r="C609" s="8" t="s">
        <v>5</v>
      </c>
      <c r="D609" s="11" t="s">
        <v>4634</v>
      </c>
    </row>
    <row r="610" spans="1:4" ht="30">
      <c r="A610" s="5" t="str">
        <f>HYPERLINK("https://www.oit.va.gov/Services/TRM/ToolPage.aspx?tid=10065^","APC Advanced View")</f>
        <v>APC Advanced View</v>
      </c>
      <c r="B610" s="4" t="s">
        <v>4633</v>
      </c>
      <c r="C610" s="8" t="s">
        <v>5</v>
      </c>
      <c r="D610" s="11" t="s">
        <v>376</v>
      </c>
    </row>
    <row r="611" spans="1:4" ht="30">
      <c r="A611" s="5" t="str">
        <f>HYPERLINK("https://www.oit.va.gov/Services/TRM/ToolPage.aspx?tid=13432^","Network Management Device Internet Protocol (IP) Configuration Wizard")</f>
        <v>Network Management Device Internet Protocol (IP) Configuration Wizard</v>
      </c>
      <c r="B611" s="4" t="s">
        <v>4633</v>
      </c>
      <c r="C611" s="8" t="s">
        <v>5</v>
      </c>
      <c r="D611" s="11" t="s">
        <v>6230</v>
      </c>
    </row>
    <row r="612" spans="1:4" ht="30">
      <c r="A612" s="5" t="str">
        <f>HYPERLINK("https://www.oit.va.gov/Services/TRM/ToolPage.aspx?tid=7285^","SignWord Pro")</f>
        <v>SignWord Pro</v>
      </c>
      <c r="B612" s="4" t="s">
        <v>5508</v>
      </c>
      <c r="C612" s="8" t="s">
        <v>5</v>
      </c>
      <c r="D612" s="11" t="s">
        <v>2944</v>
      </c>
    </row>
    <row r="613" spans="1:4" ht="30">
      <c r="A613" s="5" t="str">
        <f>HYPERLINK("https://www.oit.va.gov/Services/TRM/ToolPage.aspx?tid=13698^","A-PDF to Excel")</f>
        <v>A-PDF to Excel</v>
      </c>
      <c r="B613" s="4" t="s">
        <v>7461</v>
      </c>
      <c r="C613" s="8" t="s">
        <v>5</v>
      </c>
      <c r="D613" s="11" t="s">
        <v>7406</v>
      </c>
    </row>
    <row r="614" spans="1:4" ht="30">
      <c r="A614" s="5" t="str">
        <f>HYPERLINK("https://www.oit.va.gov/Services/TRM/ToolPage.aspx?tid=13282^","A-PDF (Portable Document Format) Page Master")</f>
        <v>A-PDF (Portable Document Format) Page Master</v>
      </c>
      <c r="B614" s="4" t="s">
        <v>7460</v>
      </c>
      <c r="C614" s="8" t="s">
        <v>5</v>
      </c>
      <c r="D614" s="11" t="s">
        <v>2228</v>
      </c>
    </row>
    <row r="615" spans="1:4" ht="30">
      <c r="A615" s="5" t="str">
        <f>HYPERLINK("https://www.oit.va.gov/Services/TRM/ToolPage.aspx?tid=16752^","Moveo Explorer")</f>
        <v>Moveo Explorer</v>
      </c>
      <c r="B615" s="4" t="s">
        <v>1056</v>
      </c>
      <c r="C615" s="8" t="s">
        <v>5</v>
      </c>
      <c r="D615" s="11" t="s">
        <v>1057</v>
      </c>
    </row>
    <row r="616" spans="1:4" ht="30">
      <c r="A616" s="5" t="str">
        <f>HYPERLINK("https://www.oit.va.gov/Services/TRM/ToolPage.aspx?tid=6249^","Distributed Terminology System (DTS)")</f>
        <v>Distributed Terminology System (DTS)</v>
      </c>
      <c r="B616" s="4" t="s">
        <v>3256</v>
      </c>
      <c r="C616" s="8" t="s">
        <v>5</v>
      </c>
      <c r="D616" s="11" t="s">
        <v>3257</v>
      </c>
    </row>
    <row r="617" spans="1:4" ht="30">
      <c r="A617" s="5" t="str">
        <f>HYPERLINK("https://www.oit.va.gov/Services/TRM/ToolPage.aspx?tid=6296^","TermWorks")</f>
        <v>TermWorks</v>
      </c>
      <c r="B617" s="4" t="s">
        <v>3256</v>
      </c>
      <c r="C617" s="8" t="s">
        <v>5</v>
      </c>
      <c r="D617" s="11" t="s">
        <v>3543</v>
      </c>
    </row>
    <row r="618" spans="1:4" ht="30">
      <c r="A618" s="5" t="str">
        <f>HYPERLINK("https://www.oit.va.gov/Services/TRM/ToolPage.aspx?tid=6574^","Active Cheque Processing")</f>
        <v>Active Cheque Processing</v>
      </c>
      <c r="B618" s="4" t="s">
        <v>1277</v>
      </c>
      <c r="C618" s="8" t="s">
        <v>5</v>
      </c>
      <c r="D618" s="11" t="s">
        <v>370</v>
      </c>
    </row>
    <row r="619" spans="1:4" ht="30">
      <c r="A619" s="5" t="str">
        <f>HYPERLINK("https://www.oit.va.gov/Services/TRM/ToolPage.aspx?tid=13550^","Active Image Document Processing System (AIDPS)")</f>
        <v>Active Image Document Processing System (AIDPS)</v>
      </c>
      <c r="B619" s="4" t="s">
        <v>1277</v>
      </c>
      <c r="C619" s="8" t="s">
        <v>5</v>
      </c>
      <c r="D619" s="11" t="s">
        <v>3138</v>
      </c>
    </row>
    <row r="620" spans="1:4" ht="30">
      <c r="A620" s="5" t="str">
        <f>HYPERLINK("https://www.oit.va.gov/Services/TRM/ToolPage.aspx?tid=8678^","Facility Management System (FMS) Reports Application")</f>
        <v>Facility Management System (FMS) Reports Application</v>
      </c>
      <c r="B620" s="4" t="s">
        <v>5193</v>
      </c>
      <c r="C620" s="8" t="s">
        <v>5</v>
      </c>
      <c r="D620" s="11" t="s">
        <v>5194</v>
      </c>
    </row>
    <row r="621" spans="1:4" ht="30">
      <c r="A621" s="5" t="str">
        <f>HYPERLINK("https://www.oit.va.gov/Services/TRM/ToolPage.aspx?tid=10832^","ApexSQL (Structured Query Language) Complete")</f>
        <v>ApexSQL (Structured Query Language) Complete</v>
      </c>
      <c r="B621" s="4" t="s">
        <v>3757</v>
      </c>
      <c r="C621" s="8" t="s">
        <v>5</v>
      </c>
      <c r="D621" s="11" t="s">
        <v>3758</v>
      </c>
    </row>
    <row r="622" spans="1:4" ht="30">
      <c r="A622" s="5" t="str">
        <f>HYPERLINK("https://www.oit.va.gov/Services/TRM/ToolPage.aspx?tid=8012^","ApexSQL Diff")</f>
        <v>ApexSQL Diff</v>
      </c>
      <c r="B622" s="4" t="s">
        <v>3757</v>
      </c>
      <c r="C622" s="8" t="s">
        <v>5</v>
      </c>
      <c r="D622" s="11" t="s">
        <v>3759</v>
      </c>
    </row>
    <row r="623" spans="1:4" ht="30">
      <c r="A623" s="5" t="str">
        <f>HYPERLINK("https://www.oit.va.gov/Services/TRM/ToolPage.aspx?tid=13935^","Refactor")</f>
        <v>Refactor</v>
      </c>
      <c r="B623" s="4" t="s">
        <v>3757</v>
      </c>
      <c r="C623" s="8" t="s">
        <v>5</v>
      </c>
      <c r="D623" s="11" t="s">
        <v>14</v>
      </c>
    </row>
    <row r="624" spans="1:4" ht="30">
      <c r="A624" s="5" t="str">
        <f>HYPERLINK("https://www.oit.va.gov/Services/TRM/ToolPage.aspx?tid=13320^","ApexSQL (Structured Query Language) Generate")</f>
        <v>ApexSQL (Structured Query Language) Generate</v>
      </c>
      <c r="B624" s="4" t="s">
        <v>3757</v>
      </c>
      <c r="C624" s="8" t="s">
        <v>5</v>
      </c>
      <c r="D624" s="11" t="s">
        <v>6287</v>
      </c>
    </row>
    <row r="625" spans="1:4" ht="30">
      <c r="A625" s="5" t="str">
        <f>HYPERLINK("https://www.oit.va.gov/Services/TRM/ToolPage.aspx?tid=13356^","ApexSQL (Structured Query Language) Search")</f>
        <v>ApexSQL (Structured Query Language) Search</v>
      </c>
      <c r="B625" s="4" t="s">
        <v>3757</v>
      </c>
      <c r="C625" s="8" t="s">
        <v>5</v>
      </c>
      <c r="D625" s="11" t="s">
        <v>6287</v>
      </c>
    </row>
    <row r="626" spans="1:4" ht="30">
      <c r="A626" s="5" t="str">
        <f>HYPERLINK("https://www.oit.va.gov/Services/TRM/ToolPage.aspx?tid=13337^","ApexSQL Clean")</f>
        <v>ApexSQL Clean</v>
      </c>
      <c r="B626" s="4" t="s">
        <v>3757</v>
      </c>
      <c r="C626" s="8" t="s">
        <v>5</v>
      </c>
      <c r="D626" s="11" t="s">
        <v>7399</v>
      </c>
    </row>
    <row r="627" spans="1:4" ht="30">
      <c r="A627" s="5" t="str">
        <f>HYPERLINK("https://www.oit.va.gov/Services/TRM/ToolPage.aspx?tid=13358^","ApexSQL Doc")</f>
        <v>ApexSQL Doc</v>
      </c>
      <c r="B627" s="4" t="s">
        <v>3757</v>
      </c>
      <c r="C627" s="8" t="s">
        <v>5</v>
      </c>
      <c r="D627" s="11" t="s">
        <v>7462</v>
      </c>
    </row>
    <row r="628" spans="1:4" ht="30">
      <c r="A628" s="5" t="str">
        <f>HYPERLINK("https://www.oit.va.gov/Services/TRM/ToolPage.aspx?tid=14051^","ApexSQL Source Control")</f>
        <v>ApexSQL Source Control</v>
      </c>
      <c r="B628" s="4" t="s">
        <v>3757</v>
      </c>
      <c r="C628" s="8" t="s">
        <v>5</v>
      </c>
      <c r="D628" s="11" t="s">
        <v>1915</v>
      </c>
    </row>
    <row r="629" spans="1:4" ht="30">
      <c r="A629" s="5" t="str">
        <f>HYPERLINK("https://www.oit.va.gov/Services/TRM/ToolPage.aspx?tid=16793^","APL64")</f>
        <v>APL64</v>
      </c>
      <c r="B629" s="4" t="s">
        <v>1304</v>
      </c>
      <c r="C629" s="8" t="s">
        <v>5</v>
      </c>
      <c r="D629" s="11" t="s">
        <v>1305</v>
      </c>
    </row>
    <row r="630" spans="1:4" ht="30">
      <c r="A630" s="5" t="str">
        <f>HYPERLINK("https://www.oit.va.gov/Services/TRM/ToolPage.aspx?tid=7371^","APL+Win")</f>
        <v>APL+Win</v>
      </c>
      <c r="B630" s="4" t="s">
        <v>1304</v>
      </c>
      <c r="C630" s="8" t="s">
        <v>5</v>
      </c>
      <c r="D630" s="11" t="s">
        <v>2378</v>
      </c>
    </row>
    <row r="631" spans="1:4" ht="30">
      <c r="A631" s="5" t="str">
        <f>HYPERLINK("https://www.oit.va.gov/Services/TRM/ToolPage.aspx?tid=5560^","Ask Toolbar")</f>
        <v>Ask Toolbar</v>
      </c>
      <c r="B631" s="4" t="s">
        <v>7487</v>
      </c>
      <c r="C631" s="8" t="s">
        <v>5</v>
      </c>
      <c r="D631" s="11" t="s">
        <v>7488</v>
      </c>
    </row>
    <row r="632" spans="1:4" ht="30">
      <c r="A632" s="5" t="str">
        <f>HYPERLINK("https://www.oit.va.gov/Services/TRM/ToolPage.aspx?tid=11593^","Apollo Paging")</f>
        <v>Apollo Paging</v>
      </c>
      <c r="B632" s="4" t="s">
        <v>1306</v>
      </c>
      <c r="C632" s="8" t="s">
        <v>5</v>
      </c>
      <c r="D632" s="11" t="s">
        <v>1307</v>
      </c>
    </row>
    <row r="633" spans="1:4" ht="30">
      <c r="A633" s="5" t="str">
        <f>HYPERLINK("https://www.oit.va.gov/Services/TRM/ToolPage.aspx?tid=7397^","Riverpoint Writer")</f>
        <v>Riverpoint Writer</v>
      </c>
      <c r="B633" s="4" t="s">
        <v>3491</v>
      </c>
      <c r="C633" s="8" t="s">
        <v>5</v>
      </c>
      <c r="D633" s="11" t="s">
        <v>3492</v>
      </c>
    </row>
    <row r="634" spans="1:4" ht="30">
      <c r="A634" s="5" t="str">
        <f>HYPERLINK("https://www.oit.va.gov/Services/TRM/ToolPage.aspx?tid=14737^","Apollo arccCore")</f>
        <v>Apollo arccCore</v>
      </c>
      <c r="B634" s="4" t="s">
        <v>7463</v>
      </c>
      <c r="C634" s="8" t="s">
        <v>5</v>
      </c>
      <c r="D634" s="11" t="s">
        <v>582</v>
      </c>
    </row>
    <row r="635" spans="1:4" ht="30">
      <c r="A635" s="5" t="str">
        <f>HYPERLINK("https://www.oit.va.gov/Services/TRM/ToolPage.aspx?tid=13497^","Streaming Audio Recorder")</f>
        <v>Streaming Audio Recorder</v>
      </c>
      <c r="B635" s="4" t="s">
        <v>8741</v>
      </c>
      <c r="C635" s="8" t="s">
        <v>5</v>
      </c>
      <c r="D635" s="11" t="s">
        <v>8742</v>
      </c>
    </row>
    <row r="636" spans="1:4" ht="30">
      <c r="A636" s="5" t="str">
        <f>HYPERLINK("https://www.oit.va.gov/Services/TRM/ToolPage.aspx?tid=6886^","AppDynamics")</f>
        <v>AppDynamics</v>
      </c>
      <c r="B636" s="4" t="s">
        <v>168</v>
      </c>
      <c r="C636" s="8" t="s">
        <v>5</v>
      </c>
      <c r="D636" s="11" t="s">
        <v>169</v>
      </c>
    </row>
    <row r="637" spans="1:4" ht="30">
      <c r="A637" s="5" t="str">
        <f>HYPERLINK("https://www.oit.va.gov/Services/TRM/ToolPage.aspx?tid=13457^","Airserver")</f>
        <v>Airserver</v>
      </c>
      <c r="B637" s="4" t="s">
        <v>168</v>
      </c>
      <c r="C637" s="8" t="s">
        <v>5</v>
      </c>
      <c r="D637" s="11" t="s">
        <v>1136</v>
      </c>
    </row>
    <row r="638" spans="1:4" ht="30">
      <c r="A638" s="5" t="str">
        <f>HYPERLINK("https://www.oit.va.gov/Services/TRM/ToolPage.aspx?tid=11746^","Juice UI (User Interface)")</f>
        <v>Juice UI (User Interface)</v>
      </c>
      <c r="B638" s="4" t="s">
        <v>8133</v>
      </c>
      <c r="C638" s="8" t="s">
        <v>5</v>
      </c>
      <c r="D638" s="11" t="s">
        <v>8134</v>
      </c>
    </row>
    <row r="639" spans="1:4" ht="30">
      <c r="A639" s="5" t="str">
        <f>HYPERLINK("https://www.oit.va.gov/Services/TRM/ToolPage.aspx?tid=9942^","PowerBuilder")</f>
        <v>PowerBuilder</v>
      </c>
      <c r="B639" s="4" t="s">
        <v>4632</v>
      </c>
      <c r="C639" s="8" t="s">
        <v>5</v>
      </c>
      <c r="D639" s="11" t="s">
        <v>557</v>
      </c>
    </row>
    <row r="640" spans="1:4" ht="30">
      <c r="A640" s="5" t="str">
        <f>HYPERLINK("https://www.oit.va.gov/Services/TRM/ToolPage.aspx?tid=6413^","Compliance Sheriff")</f>
        <v>Compliance Sheriff</v>
      </c>
      <c r="B640" s="4" t="s">
        <v>2481</v>
      </c>
      <c r="C640" s="8" t="s">
        <v>5</v>
      </c>
      <c r="D640" s="11" t="s">
        <v>633</v>
      </c>
    </row>
    <row r="641" spans="1:4" ht="30">
      <c r="A641" s="5" t="str">
        <f>HYPERLINK("https://www.oit.va.gov/Services/TRM/ToolPage.aspx?tid=7265^","Appian Business Process Management Suite (BPMS)")</f>
        <v>Appian Business Process Management Suite (BPMS)</v>
      </c>
      <c r="B641" s="4" t="s">
        <v>3764</v>
      </c>
      <c r="C641" s="8" t="s">
        <v>5</v>
      </c>
      <c r="D641" s="11" t="s">
        <v>3765</v>
      </c>
    </row>
    <row r="642" spans="1:4" ht="30">
      <c r="A642" s="5" t="str">
        <f>HYPERLINK("https://www.oit.va.gov/Services/TRM/ToolPage.aspx?tid=15951^","Appium")</f>
        <v>Appium</v>
      </c>
      <c r="B642" s="4" t="s">
        <v>6288</v>
      </c>
      <c r="C642" s="8" t="s">
        <v>5</v>
      </c>
      <c r="D642" s="11" t="s">
        <v>4930</v>
      </c>
    </row>
    <row r="643" spans="1:4" ht="30">
      <c r="A643" s="5" t="str">
        <f>HYPERLINK("https://www.oit.va.gov/Services/TRM/ToolPage.aspx?tid=6719^","macOS")</f>
        <v>macOS</v>
      </c>
      <c r="B643" s="4" t="s">
        <v>751</v>
      </c>
      <c r="C643" s="8" t="s">
        <v>5</v>
      </c>
      <c r="D643" s="11" t="s">
        <v>169</v>
      </c>
    </row>
    <row r="644" spans="1:4" ht="30">
      <c r="A644" s="5" t="str">
        <f>HYPERLINK("https://www.oit.va.gov/Services/TRM/ToolPage.aspx?tid=6014^","Apple iTunes")</f>
        <v>Apple iTunes</v>
      </c>
      <c r="B644" s="4" t="s">
        <v>751</v>
      </c>
      <c r="C644" s="8" t="s">
        <v>5</v>
      </c>
      <c r="D644" s="11" t="s">
        <v>1308</v>
      </c>
    </row>
    <row r="645" spans="1:4" ht="30">
      <c r="A645" s="5" t="str">
        <f>HYPERLINK("https://www.oit.va.gov/Services/TRM/ToolPage.aspx?tid=6775^","Safari")</f>
        <v>Safari</v>
      </c>
      <c r="B645" s="4" t="s">
        <v>751</v>
      </c>
      <c r="C645" s="8" t="s">
        <v>5</v>
      </c>
      <c r="D645" s="11" t="s">
        <v>2359</v>
      </c>
    </row>
    <row r="646" spans="1:4" ht="30">
      <c r="A646" s="5" t="str">
        <f>HYPERLINK("https://www.oit.va.gov/Services/TRM/ToolPage.aspx?tid=6750^","Xcode")</f>
        <v>Xcode</v>
      </c>
      <c r="B646" s="4" t="s">
        <v>751</v>
      </c>
      <c r="C646" s="8" t="s">
        <v>5</v>
      </c>
      <c r="D646" s="11" t="s">
        <v>885</v>
      </c>
    </row>
    <row r="647" spans="1:4" ht="30">
      <c r="A647" s="5" t="str">
        <f>HYPERLINK("https://www.oit.va.gov/Services/TRM/ToolPage.aspx?tid=6693^","Final Cut Pro X")</f>
        <v>Final Cut Pro X</v>
      </c>
      <c r="B647" s="4" t="s">
        <v>751</v>
      </c>
      <c r="C647" s="8" t="s">
        <v>5</v>
      </c>
      <c r="D647" s="11" t="s">
        <v>4133</v>
      </c>
    </row>
    <row r="648" spans="1:4" ht="30">
      <c r="A648" s="5" t="str">
        <f>HYPERLINK("https://www.oit.va.gov/Services/TRM/HardwarePage.aspx?tid=14130^","iPod (Mobile)")</f>
        <v>iPod (Mobile)</v>
      </c>
      <c r="B648" s="4" t="s">
        <v>751</v>
      </c>
      <c r="C648" s="8" t="s">
        <v>5</v>
      </c>
      <c r="D648" s="11" t="s">
        <v>5890</v>
      </c>
    </row>
    <row r="649" spans="1:4" ht="30">
      <c r="A649" s="5" t="str">
        <f>HYPERLINK("https://www.oit.va.gov/Services/TRM/ToolPage.aspx?tid=13892^","Airport Utility macOS")</f>
        <v>Airport Utility macOS</v>
      </c>
      <c r="B649" s="4" t="s">
        <v>751</v>
      </c>
      <c r="C649" s="8" t="s">
        <v>5</v>
      </c>
      <c r="D649" s="11" t="s">
        <v>6254</v>
      </c>
    </row>
    <row r="650" spans="1:4" ht="30">
      <c r="A650" s="5" t="str">
        <f>HYPERLINK("https://www.oit.va.gov/Services/TRM/ToolPage.aspx?tid=13266^","Aperture")</f>
        <v>Aperture</v>
      </c>
      <c r="B650" s="4" t="s">
        <v>751</v>
      </c>
      <c r="C650" s="8" t="s">
        <v>5</v>
      </c>
      <c r="D650" s="11" t="s">
        <v>6286</v>
      </c>
    </row>
    <row r="651" spans="1:4" ht="30">
      <c r="A651" s="5" t="str">
        <f>HYPERLINK("https://www.oit.va.gov/Services/TRM/ToolPage.aspx?tid=13518^","Apple Boot Camp")</f>
        <v>Apple Boot Camp</v>
      </c>
      <c r="B651" s="4" t="s">
        <v>751</v>
      </c>
      <c r="C651" s="8" t="s">
        <v>5</v>
      </c>
      <c r="D651" s="11" t="s">
        <v>6289</v>
      </c>
    </row>
    <row r="652" spans="1:4" ht="30">
      <c r="A652" s="5" t="str">
        <f>HYPERLINK("https://www.oit.va.gov/Services/TRM/ToolPage.aspx?tid=13515^","Apple Configurator")</f>
        <v>Apple Configurator</v>
      </c>
      <c r="B652" s="4" t="s">
        <v>751</v>
      </c>
      <c r="C652" s="8" t="s">
        <v>5</v>
      </c>
      <c r="D652" s="11" t="s">
        <v>4251</v>
      </c>
    </row>
    <row r="653" spans="1:4" ht="30">
      <c r="A653" s="5" t="str">
        <f>HYPERLINK("https://www.oit.va.gov/Services/TRM/ToolPage.aspx?tid=9547^","Apple Remote Desktop (ARD)")</f>
        <v>Apple Remote Desktop (ARD)</v>
      </c>
      <c r="B653" s="4" t="s">
        <v>751</v>
      </c>
      <c r="C653" s="8" t="s">
        <v>5</v>
      </c>
      <c r="D653" s="11" t="s">
        <v>6290</v>
      </c>
    </row>
    <row r="654" spans="1:4" ht="30">
      <c r="A654" s="5" t="str">
        <f>HYPERLINK("https://www.oit.va.gov/Services/TRM/ToolPage.aspx?tid=5584^","Bonjour")</f>
        <v>Bonjour</v>
      </c>
      <c r="B654" s="4" t="s">
        <v>751</v>
      </c>
      <c r="C654" s="8" t="s">
        <v>5</v>
      </c>
      <c r="D654" s="11" t="s">
        <v>6357</v>
      </c>
    </row>
    <row r="655" spans="1:4" ht="30">
      <c r="A655" s="5" t="str">
        <f>HYPERLINK("https://www.oit.va.gov/Services/TRM/ToolPage.aspx?tid=8023^","Compressor")</f>
        <v>Compressor</v>
      </c>
      <c r="B655" s="4" t="s">
        <v>751</v>
      </c>
      <c r="C655" s="8" t="s">
        <v>5</v>
      </c>
      <c r="D655" s="11" t="s">
        <v>6448</v>
      </c>
    </row>
    <row r="656" spans="1:4" ht="30">
      <c r="A656" s="5" t="str">
        <f>HYPERLINK("https://www.oit.va.gov/Services/TRM/ToolPage.aspx?tid=11722^","FaceTime for macOS")</f>
        <v>FaceTime for macOS</v>
      </c>
      <c r="B656" s="4" t="s">
        <v>751</v>
      </c>
      <c r="C656" s="8" t="s">
        <v>5</v>
      </c>
      <c r="D656" s="11" t="s">
        <v>6603</v>
      </c>
    </row>
    <row r="657" spans="1:4" ht="30">
      <c r="A657" s="5" t="str">
        <f>HYPERLINK("https://www.oit.va.gov/Services/TRM/ToolPage.aspx?tid=6703^","iOS Software Development Kit (SDK)")</f>
        <v>iOS Software Development Kit (SDK)</v>
      </c>
      <c r="B657" s="4" t="s">
        <v>751</v>
      </c>
      <c r="C657" s="8" t="s">
        <v>5</v>
      </c>
      <c r="D657" s="11" t="s">
        <v>760</v>
      </c>
    </row>
    <row r="658" spans="1:4" ht="30">
      <c r="A658" s="5" t="str">
        <f>HYPERLINK("https://www.oit.va.gov/Services/TRM/ToolPage.aspx?tid=11624^","Keynote")</f>
        <v>Keynote</v>
      </c>
      <c r="B658" s="4" t="s">
        <v>751</v>
      </c>
      <c r="C658" s="8" t="s">
        <v>5</v>
      </c>
      <c r="D658" s="11" t="s">
        <v>2859</v>
      </c>
    </row>
    <row r="659" spans="1:4" ht="30">
      <c r="A659" s="5" t="str">
        <f>HYPERLINK("https://www.oit.va.gov/Services/TRM/ToolPage.aspx?tid=13437^","MainStage")</f>
        <v>MainStage</v>
      </c>
      <c r="B659" s="4" t="s">
        <v>751</v>
      </c>
      <c r="C659" s="8" t="s">
        <v>5</v>
      </c>
      <c r="D659" s="11" t="s">
        <v>6814</v>
      </c>
    </row>
    <row r="660" spans="1:4" ht="30">
      <c r="A660" s="5" t="str">
        <f>HYPERLINK("https://www.oit.va.gov/Services/TRM/ToolPage.aspx?tid=13385^","Qmaster")</f>
        <v>Qmaster</v>
      </c>
      <c r="B660" s="4" t="s">
        <v>751</v>
      </c>
      <c r="C660" s="8" t="s">
        <v>5</v>
      </c>
      <c r="D660" s="11" t="s">
        <v>7004</v>
      </c>
    </row>
    <row r="661" spans="1:4" ht="30">
      <c r="A661" s="5" t="str">
        <f>HYPERLINK("https://www.oit.va.gov/Services/TRM/ToolPage.aspx?tid=5705^","QuickTime")</f>
        <v>QuickTime</v>
      </c>
      <c r="B661" s="4" t="s">
        <v>751</v>
      </c>
      <c r="C661" s="8" t="s">
        <v>5</v>
      </c>
      <c r="D661" s="11" t="s">
        <v>2039</v>
      </c>
    </row>
    <row r="662" spans="1:4" ht="30">
      <c r="A662" s="5" t="str">
        <f>HYPERLINK("https://www.oit.va.gov/Services/TRM/StandardPage.aspx?tid=10295^","Swift Programming Language")</f>
        <v>Swift Programming Language</v>
      </c>
      <c r="B662" s="4" t="s">
        <v>751</v>
      </c>
      <c r="C662" s="8" t="s">
        <v>5</v>
      </c>
      <c r="D662" s="11" t="s">
        <v>7201</v>
      </c>
    </row>
    <row r="663" spans="1:4" ht="30">
      <c r="A663" s="5" t="str">
        <f>HYPERLINK("https://www.oit.va.gov/Services/TRM/ToolPage.aspx?tid=13342^","Apple LiveType")</f>
        <v>Apple LiveType</v>
      </c>
      <c r="B663" s="4" t="s">
        <v>751</v>
      </c>
      <c r="C663" s="8" t="s">
        <v>5</v>
      </c>
      <c r="D663" s="11" t="s">
        <v>7464</v>
      </c>
    </row>
    <row r="664" spans="1:4" ht="30">
      <c r="A664" s="5" t="str">
        <f>HYPERLINK("https://www.oit.va.gov/Services/TRM/ToolPage.aspx?tid=13481^","Apple Loops Utility")</f>
        <v>Apple Loops Utility</v>
      </c>
      <c r="B664" s="4" t="s">
        <v>751</v>
      </c>
      <c r="C664" s="8" t="s">
        <v>5</v>
      </c>
      <c r="D664" s="11" t="s">
        <v>7465</v>
      </c>
    </row>
    <row r="665" spans="1:4" ht="30">
      <c r="A665" s="5" t="str">
        <f>HYPERLINK("https://www.oit.va.gov/Services/TRM/ToolPage.aspx?tid=13288^","DVD Studio Pro")</f>
        <v>DVD Studio Pro</v>
      </c>
      <c r="B665" s="4" t="s">
        <v>751</v>
      </c>
      <c r="C665" s="8" t="s">
        <v>5</v>
      </c>
      <c r="D665" s="11" t="s">
        <v>7815</v>
      </c>
    </row>
    <row r="666" spans="1:4" ht="30">
      <c r="A666" s="5" t="str">
        <f>HYPERLINK("https://www.oit.va.gov/Services/TRM/ToolPage.aspx?tid=14945^","Enterprise Connect")</f>
        <v>Enterprise Connect</v>
      </c>
      <c r="B666" s="4" t="s">
        <v>751</v>
      </c>
      <c r="C666" s="8" t="s">
        <v>5</v>
      </c>
      <c r="D666" s="11" t="s">
        <v>7866</v>
      </c>
    </row>
    <row r="667" spans="1:4" ht="30">
      <c r="A667" s="5" t="str">
        <f>HYPERLINK("https://www.oit.va.gov/Services/TRM/ToolPage.aspx?tid=13004^","GarageBand")</f>
        <v>GarageBand</v>
      </c>
      <c r="B667" s="4" t="s">
        <v>751</v>
      </c>
      <c r="C667" s="8" t="s">
        <v>5</v>
      </c>
      <c r="D667" s="11" t="s">
        <v>5269</v>
      </c>
    </row>
    <row r="668" spans="1:4" ht="30">
      <c r="A668" s="5" t="str">
        <f>HYPERLINK("https://www.oit.va.gov/Services/TRM/ToolPage.aspx?tid=6000^","iCloud")</f>
        <v>iCloud</v>
      </c>
      <c r="B668" s="4" t="s">
        <v>751</v>
      </c>
      <c r="C668" s="8" t="s">
        <v>5</v>
      </c>
      <c r="D668" s="11" t="s">
        <v>1167</v>
      </c>
    </row>
    <row r="669" spans="1:4" ht="30">
      <c r="A669" s="5" t="str">
        <f>HYPERLINK("https://www.oit.va.gov/Services/TRM/ToolPage.aspx?tid=13056^","iDVD")</f>
        <v>iDVD</v>
      </c>
      <c r="B669" s="4" t="s">
        <v>751</v>
      </c>
      <c r="C669" s="8" t="s">
        <v>5</v>
      </c>
      <c r="D669" s="11" t="s">
        <v>6685</v>
      </c>
    </row>
    <row r="670" spans="1:4" ht="30">
      <c r="A670" s="5" t="str">
        <f>HYPERLINK("https://www.oit.va.gov/Services/TRM/ToolPage.aspx?tid=14493^","iMovie")</f>
        <v>iMovie</v>
      </c>
      <c r="B670" s="4" t="s">
        <v>751</v>
      </c>
      <c r="C670" s="8" t="s">
        <v>5</v>
      </c>
      <c r="D670" s="11" t="s">
        <v>3566</v>
      </c>
    </row>
    <row r="671" spans="1:4" ht="30">
      <c r="A671" s="5" t="str">
        <f>HYPERLINK("https://www.oit.va.gov/Services/TRM/ToolPage.aspx?tid=13599^","iSync")</f>
        <v>iSync</v>
      </c>
      <c r="B671" s="4" t="s">
        <v>751</v>
      </c>
      <c r="C671" s="8" t="s">
        <v>5</v>
      </c>
      <c r="D671" s="11" t="s">
        <v>3335</v>
      </c>
    </row>
    <row r="672" spans="1:4" ht="30">
      <c r="A672" s="5" t="str">
        <f>HYPERLINK("https://www.oit.va.gov/Services/TRM/ToolPage.aspx?tid=13652^","Motion")</f>
        <v>Motion</v>
      </c>
      <c r="B672" s="4" t="s">
        <v>751</v>
      </c>
      <c r="C672" s="8" t="s">
        <v>5</v>
      </c>
      <c r="D672" s="11" t="s">
        <v>7407</v>
      </c>
    </row>
    <row r="673" spans="1:4" ht="30">
      <c r="A673" s="5" t="str">
        <f>HYPERLINK("https://www.oit.va.gov/Services/TRM/ToolPage.aspx?tid=12985^","Numbers")</f>
        <v>Numbers</v>
      </c>
      <c r="B673" s="4" t="s">
        <v>751</v>
      </c>
      <c r="C673" s="8" t="s">
        <v>5</v>
      </c>
      <c r="D673" s="11" t="s">
        <v>8347</v>
      </c>
    </row>
    <row r="674" spans="1:4" ht="30">
      <c r="A674" s="5" t="str">
        <f>HYPERLINK("https://www.oit.va.gov/Services/TRM/ToolPage.aspx?tid=13472^","Podcast Capture")</f>
        <v>Podcast Capture</v>
      </c>
      <c r="B674" s="4" t="s">
        <v>751</v>
      </c>
      <c r="C674" s="8" t="s">
        <v>5</v>
      </c>
      <c r="D674" s="11" t="s">
        <v>7953</v>
      </c>
    </row>
    <row r="675" spans="1:4" ht="30">
      <c r="A675" s="5" t="str">
        <f>HYPERLINK("https://www.oit.va.gov/Services/TRM/ToolPage.aspx?tid=13491^","Soundtrack Pro")</f>
        <v>Soundtrack Pro</v>
      </c>
      <c r="B675" s="4" t="s">
        <v>751</v>
      </c>
      <c r="C675" s="8" t="s">
        <v>5</v>
      </c>
      <c r="D675" s="11" t="s">
        <v>7598</v>
      </c>
    </row>
    <row r="676" spans="1:4" ht="30">
      <c r="A676" s="5" t="str">
        <f>HYPERLINK("https://www.oit.va.gov/Services/TRM/ToolPage.aspx?tid=5742^","UPEK TouchChip Fingerprint Reader Driver")</f>
        <v>UPEK TouchChip Fingerprint Reader Driver</v>
      </c>
      <c r="B676" s="4" t="s">
        <v>751</v>
      </c>
      <c r="C676" s="8" t="s">
        <v>5</v>
      </c>
      <c r="D676" s="11" t="s">
        <v>8854</v>
      </c>
    </row>
    <row r="677" spans="1:4" ht="30">
      <c r="A677" s="5" t="str">
        <f>HYPERLINK("https://www.oit.va.gov/Services/TRM/ToolPage.aspx?tid=8476^","WebObjects")</f>
        <v>WebObjects</v>
      </c>
      <c r="B677" s="4" t="s">
        <v>751</v>
      </c>
      <c r="C677" s="8" t="s">
        <v>5</v>
      </c>
      <c r="D677" s="11" t="s">
        <v>7563</v>
      </c>
    </row>
    <row r="678" spans="1:4" ht="30">
      <c r="A678" s="5" t="str">
        <f>HYPERLINK("https://www.oit.va.gov/Services/TRM/ToolPage.aspx?tid=13968^","Windows Media (WM) Capture")</f>
        <v>Windows Media (WM) Capture</v>
      </c>
      <c r="B678" s="4" t="s">
        <v>8931</v>
      </c>
      <c r="C678" s="8" t="s">
        <v>5</v>
      </c>
      <c r="D678" s="11" t="s">
        <v>1215</v>
      </c>
    </row>
    <row r="679" spans="1:4" ht="30">
      <c r="A679" s="5" t="str">
        <f>HYPERLINK("https://www.oit.va.gov/Services/TRM/ToolPage.aspx?tid=14687^","CaptureEze Pro")</f>
        <v>CaptureEze Pro</v>
      </c>
      <c r="B679" s="4" t="s">
        <v>3195</v>
      </c>
      <c r="C679" s="8" t="s">
        <v>5</v>
      </c>
      <c r="D679" s="11" t="s">
        <v>3196</v>
      </c>
    </row>
    <row r="680" spans="1:4" ht="30">
      <c r="A680" s="5" t="str">
        <f>HYPERLINK("https://www.oit.va.gov/Services/TRM/ToolPage.aspx?tid=11148^","BioNumerics")</f>
        <v>BioNumerics</v>
      </c>
      <c r="B680" s="4" t="s">
        <v>590</v>
      </c>
      <c r="C680" s="8" t="s">
        <v>5</v>
      </c>
      <c r="D680" s="11" t="s">
        <v>563</v>
      </c>
    </row>
    <row r="681" spans="1:4" ht="30">
      <c r="A681" s="5" t="str">
        <f>HYPERLINK("https://www.oit.va.gov/Services/TRM/ToolPage.aspx?tid=16017^","Blimp")</f>
        <v>Blimp</v>
      </c>
      <c r="B681" s="4" t="s">
        <v>5073</v>
      </c>
      <c r="C681" s="8" t="s">
        <v>5</v>
      </c>
      <c r="D681" s="11" t="s">
        <v>5074</v>
      </c>
    </row>
    <row r="682" spans="1:4" ht="30">
      <c r="A682" s="5" t="str">
        <f>HYPERLINK("https://www.oit.va.gov/Services/TRM/ToolPage.aspx?tid=16777^","NeuroGuide")</f>
        <v>NeuroGuide</v>
      </c>
      <c r="B682" s="4" t="s">
        <v>4489</v>
      </c>
      <c r="C682" s="8" t="s">
        <v>5</v>
      </c>
      <c r="D682" s="11" t="s">
        <v>362</v>
      </c>
    </row>
    <row r="683" spans="1:4" ht="30">
      <c r="A683" s="5" t="str">
        <f>HYPERLINK("https://www.oit.va.gov/Services/TRM/ToolPage.aspx?tid=14138^","PathFusion")</f>
        <v>PathFusion</v>
      </c>
      <c r="B683" s="4" t="s">
        <v>1826</v>
      </c>
      <c r="C683" s="8" t="s">
        <v>5</v>
      </c>
      <c r="D683" s="11" t="s">
        <v>1827</v>
      </c>
    </row>
    <row r="684" spans="1:4" ht="30">
      <c r="A684" s="5" t="str">
        <f>HYPERLINK("https://www.oit.va.gov/Services/TRM/ToolPage.aspx?tid=10106^","MD-Staff")</f>
        <v>MD-Staff</v>
      </c>
      <c r="B684" s="4" t="s">
        <v>3378</v>
      </c>
      <c r="C684" s="8" t="s">
        <v>5</v>
      </c>
      <c r="D684" s="11" t="s">
        <v>3379</v>
      </c>
    </row>
    <row r="685" spans="1:4" ht="30">
      <c r="A685" s="5" t="str">
        <f>HYPERLINK("https://www.oit.va.gov/Services/TRM/ToolPage.aspx?tid=13741^","WinMTR Portable")</f>
        <v>WinMTR Portable</v>
      </c>
      <c r="B685" s="4" t="s">
        <v>8937</v>
      </c>
      <c r="C685" s="8" t="s">
        <v>5</v>
      </c>
      <c r="D685" s="11" t="s">
        <v>1331</v>
      </c>
    </row>
    <row r="686" spans="1:4" ht="30">
      <c r="A686" s="5" t="str">
        <f>HYPERLINK("https://www.oit.va.gov/Services/TRM/ToolPage.aspx?tid=8380^","AppSpace")</f>
        <v>AppSpace</v>
      </c>
      <c r="B686" s="4" t="s">
        <v>5645</v>
      </c>
      <c r="C686" s="8" t="s">
        <v>5</v>
      </c>
      <c r="D686" s="11" t="s">
        <v>187</v>
      </c>
    </row>
    <row r="687" spans="1:4" ht="30">
      <c r="A687" s="5" t="str">
        <f>HYPERLINK("https://www.oit.va.gov/Services/TRM/ToolPage.aspx?tid=13309^","Abyss Web Server")</f>
        <v>Abyss Web Server</v>
      </c>
      <c r="B687" s="4" t="s">
        <v>7369</v>
      </c>
      <c r="C687" s="8" t="s">
        <v>5</v>
      </c>
      <c r="D687" s="11" t="s">
        <v>2215</v>
      </c>
    </row>
    <row r="688" spans="1:4" ht="30">
      <c r="A688" s="5" t="str">
        <f>HYPERLINK("https://www.oit.va.gov/Services/TRM/ToolPage.aspx?tid=9173^","ActivePDF Toolkit")</f>
        <v>ActivePDF Toolkit</v>
      </c>
      <c r="B688" s="4" t="s">
        <v>367</v>
      </c>
      <c r="C688" s="8" t="s">
        <v>5</v>
      </c>
      <c r="D688" s="11" t="s">
        <v>368</v>
      </c>
    </row>
    <row r="689" spans="1:4" ht="30">
      <c r="A689" s="5" t="str">
        <f>HYPERLINK("https://www.oit.va.gov/Services/TRM/ToolPage.aspx?tid=13705^","Aptana Studio")</f>
        <v>Aptana Studio</v>
      </c>
      <c r="B689" s="4" t="s">
        <v>7469</v>
      </c>
      <c r="C689" s="8" t="s">
        <v>5</v>
      </c>
      <c r="D689" s="11" t="s">
        <v>7470</v>
      </c>
    </row>
    <row r="690" spans="1:4" ht="30">
      <c r="A690" s="5" t="str">
        <f>HYPERLINK("https://www.oit.va.gov/Services/TRM/ToolPage.aspx?tid=14108^","ClaimStaker")</f>
        <v>ClaimStaker</v>
      </c>
      <c r="B690" s="4" t="s">
        <v>5709</v>
      </c>
      <c r="C690" s="8" t="s">
        <v>5</v>
      </c>
      <c r="D690" s="11" t="s">
        <v>1496</v>
      </c>
    </row>
    <row r="691" spans="1:4" ht="30">
      <c r="A691" s="5" t="str">
        <f>HYPERLINK("https://www.oit.va.gov/Services/TRM/ToolPage.aspx?tid=14107^","CodeWizard")</f>
        <v>CodeWizard</v>
      </c>
      <c r="B691" s="4" t="s">
        <v>5709</v>
      </c>
      <c r="C691" s="8" t="s">
        <v>5</v>
      </c>
      <c r="D691" s="11" t="s">
        <v>1496</v>
      </c>
    </row>
    <row r="692" spans="1:4" ht="30">
      <c r="A692" s="5" t="str">
        <f>HYPERLINK("https://www.oit.va.gov/Services/TRM/ToolPage.aspx?tid=13889^","GAUSS Platform")</f>
        <v>GAUSS Platform</v>
      </c>
      <c r="B692" s="4" t="s">
        <v>4173</v>
      </c>
      <c r="C692" s="8" t="s">
        <v>5</v>
      </c>
      <c r="D692" s="11" t="s">
        <v>4174</v>
      </c>
    </row>
    <row r="693" spans="1:4" ht="30">
      <c r="A693" s="5" t="str">
        <f>HYPERLINK("https://www.oit.va.gov/Services/TRM/ToolPage.aspx?tid=16286^","Aqua Security Enterprise Self-Hosted (on-prem)")</f>
        <v>Aqua Security Enterprise Self-Hosted (on-prem)</v>
      </c>
      <c r="B693" s="4" t="s">
        <v>5646</v>
      </c>
      <c r="C693" s="8" t="s">
        <v>5</v>
      </c>
      <c r="D693" s="11" t="s">
        <v>5647</v>
      </c>
    </row>
    <row r="694" spans="1:4" ht="30">
      <c r="A694" s="5" t="str">
        <f>HYPERLINK("https://www.oit.va.gov/Services/TRM/ToolPage.aspx?tid=15229^","Aquamacs")</f>
        <v>Aquamacs</v>
      </c>
      <c r="B694" s="4" t="s">
        <v>6294</v>
      </c>
      <c r="C694" s="8" t="s">
        <v>5</v>
      </c>
      <c r="D694" s="11" t="s">
        <v>6295</v>
      </c>
    </row>
    <row r="695" spans="1:4" ht="30">
      <c r="A695" s="5" t="str">
        <f>HYPERLINK("https://www.oit.va.gov/Services/TRM/ToolPage.aspx?tid=13619^","WakeOnLAN (Wake On Local Area Network)")</f>
        <v>WakeOnLAN (Wake On Local Area Network)</v>
      </c>
      <c r="B695" s="4" t="s">
        <v>7308</v>
      </c>
      <c r="C695" s="8" t="s">
        <v>5</v>
      </c>
      <c r="D695" s="11" t="s">
        <v>7309</v>
      </c>
    </row>
    <row r="696" spans="1:4" ht="30">
      <c r="A696" s="5" t="str">
        <f>HYPERLINK("https://www.oit.va.gov/Services/TRM/ToolPage.aspx?tid=8083^","Silhouette")</f>
        <v>Silhouette</v>
      </c>
      <c r="B696" s="4" t="s">
        <v>1923</v>
      </c>
      <c r="C696" s="8" t="s">
        <v>5</v>
      </c>
      <c r="D696" s="11" t="s">
        <v>1924</v>
      </c>
    </row>
    <row r="697" spans="1:4" ht="30">
      <c r="A697" s="5" t="str">
        <f>HYPERLINK("https://www.oit.va.gov/Services/TRM/ToolPage.aspx?tid=16661^","Insta360 Air Webcam Application")</f>
        <v>Insta360 Air Webcam Application</v>
      </c>
      <c r="B697" s="4" t="s">
        <v>5878</v>
      </c>
      <c r="C697" s="8" t="s">
        <v>5</v>
      </c>
      <c r="D697" s="11" t="s">
        <v>3978</v>
      </c>
    </row>
    <row r="698" spans="1:4" ht="30">
      <c r="A698" s="5" t="str">
        <f>HYPERLINK("https://www.oit.va.gov/Services/TRM/ToolPage.aspx?tid=16614^","Insta360 Link Controller")</f>
        <v>Insta360 Link Controller</v>
      </c>
      <c r="B698" s="4" t="s">
        <v>1634</v>
      </c>
      <c r="C698" s="8" t="s">
        <v>5</v>
      </c>
      <c r="D698" s="11" t="s">
        <v>1635</v>
      </c>
    </row>
    <row r="699" spans="1:4" ht="30">
      <c r="A699" s="5" t="str">
        <f>HYPERLINK("https://www.oit.va.gov/Services/TRM/ToolPage.aspx?tid=16354^","Insta360 STUDIO 2023")</f>
        <v>Insta360 STUDIO 2023</v>
      </c>
      <c r="B699" s="4" t="s">
        <v>1634</v>
      </c>
      <c r="C699" s="8" t="s">
        <v>5</v>
      </c>
      <c r="D699" s="11" t="s">
        <v>1057</v>
      </c>
    </row>
    <row r="700" spans="1:4" ht="30">
      <c r="A700" s="5" t="str">
        <f>HYPERLINK("https://www.oit.va.gov/Services/TRM/ToolPage.aspx?tid=7089^","Araxis Merge")</f>
        <v>Araxis Merge</v>
      </c>
      <c r="B700" s="4" t="s">
        <v>3767</v>
      </c>
      <c r="C700" s="8" t="s">
        <v>5</v>
      </c>
      <c r="D700" s="11" t="s">
        <v>3768</v>
      </c>
    </row>
    <row r="701" spans="1:4" ht="30">
      <c r="A701" s="5" t="str">
        <f>HYPERLINK("https://www.oit.va.gov/Services/TRM/ToolPage.aspx?tid=15398^","ManageExpress Virtual Office (MEVO)")</f>
        <v>ManageExpress Virtual Office (MEVO)</v>
      </c>
      <c r="B701" s="4" t="s">
        <v>4388</v>
      </c>
      <c r="C701" s="8" t="s">
        <v>5</v>
      </c>
      <c r="D701" s="11" t="s">
        <v>2792</v>
      </c>
    </row>
    <row r="702" spans="1:4" ht="30">
      <c r="A702" s="5" t="str">
        <f>HYPERLINK("https://www.oit.va.gov/Services/TRM/ToolPage.aspx?tid=8309^","Opsi Foot Scanner Software")</f>
        <v>Opsi Foot Scanner Software</v>
      </c>
      <c r="B702" s="4" t="s">
        <v>8371</v>
      </c>
      <c r="C702" s="8" t="s">
        <v>5</v>
      </c>
      <c r="D702" s="11" t="s">
        <v>7341</v>
      </c>
    </row>
    <row r="703" spans="1:4" ht="30">
      <c r="A703" s="5" t="str">
        <f>HYPERLINK("https://www.oit.va.gov/Services/TRM/ToolPage.aspx?tid=15174^","Archibus Smart Client")</f>
        <v>Archibus Smart Client</v>
      </c>
      <c r="B703" s="4" t="s">
        <v>3149</v>
      </c>
      <c r="C703" s="8" t="s">
        <v>5</v>
      </c>
      <c r="D703" s="11" t="s">
        <v>643</v>
      </c>
    </row>
    <row r="704" spans="1:4" ht="30">
      <c r="A704" s="5" t="str">
        <f>HYPERLINK("https://www.oit.va.gov/Services/TRM/ToolPage.aspx?tid=16866^","Archi")</f>
        <v>Archi</v>
      </c>
      <c r="B704" s="4" t="s">
        <v>3770</v>
      </c>
      <c r="C704" s="8" t="s">
        <v>5</v>
      </c>
      <c r="D704" s="11" t="s">
        <v>3771</v>
      </c>
    </row>
    <row r="705" spans="1:4" ht="30">
      <c r="A705" s="5" t="str">
        <f>HYPERLINK("https://www.oit.va.gov/Services/TRM/ToolPage.aspx?tid=6699^","inFlow On-Premise")</f>
        <v>inFlow On-Premise</v>
      </c>
      <c r="B705" s="4" t="s">
        <v>2260</v>
      </c>
      <c r="C705" s="8" t="s">
        <v>5</v>
      </c>
      <c r="D705" s="11" t="s">
        <v>81</v>
      </c>
    </row>
    <row r="706" spans="1:4" ht="30">
      <c r="A706" s="5" t="str">
        <f>HYPERLINK("https://www.oit.va.gov/Services/TRM/ToolPage.aspx?tid=9356^","Arcserve Backup")</f>
        <v>Arcserve Backup</v>
      </c>
      <c r="B706" s="4" t="s">
        <v>3772</v>
      </c>
      <c r="C706" s="8" t="s">
        <v>5</v>
      </c>
      <c r="D706" s="11" t="s">
        <v>951</v>
      </c>
    </row>
    <row r="707" spans="1:4" ht="30">
      <c r="A707" s="5" t="str">
        <f>HYPERLINK("https://www.oit.va.gov/Services/TRM/ToolPage.aspx?tid=10973^","Arcserve Replication and High Availability (RHA)")</f>
        <v>Arcserve Replication and High Availability (RHA)</v>
      </c>
      <c r="B707" s="4" t="s">
        <v>3772</v>
      </c>
      <c r="C707" s="8" t="s">
        <v>5</v>
      </c>
      <c r="D707" s="11" t="s">
        <v>2346</v>
      </c>
    </row>
    <row r="708" spans="1:4" ht="30">
      <c r="A708" s="5" t="str">
        <f>HYPERLINK("https://www.oit.va.gov/Services/TRM/ToolPage.aspx?tid=13421^","ArcSoft MediaConverter")</f>
        <v>ArcSoft MediaConverter</v>
      </c>
      <c r="B708" s="4" t="s">
        <v>7474</v>
      </c>
      <c r="C708" s="8" t="s">
        <v>5</v>
      </c>
      <c r="D708" s="11" t="s">
        <v>7475</v>
      </c>
    </row>
    <row r="709" spans="1:4" ht="30">
      <c r="A709" s="5" t="str">
        <f>HYPERLINK("https://www.oit.va.gov/Services/TRM/ToolPage.aspx?tid=5559^","ArcSoft PhotoStudio")</f>
        <v>ArcSoft PhotoStudio</v>
      </c>
      <c r="B709" s="4" t="s">
        <v>7474</v>
      </c>
      <c r="C709" s="8" t="s">
        <v>5</v>
      </c>
      <c r="D709" s="11" t="s">
        <v>7476</v>
      </c>
    </row>
    <row r="710" spans="1:4" ht="30">
      <c r="A710" s="5" t="str">
        <f>HYPERLINK("https://www.oit.va.gov/Services/TRM/ToolPage.aspx?tid=13374^","ArcSoft Video Impression")</f>
        <v>ArcSoft Video Impression</v>
      </c>
      <c r="B710" s="4" t="s">
        <v>7474</v>
      </c>
      <c r="C710" s="8" t="s">
        <v>5</v>
      </c>
      <c r="D710" s="11" t="s">
        <v>7477</v>
      </c>
    </row>
    <row r="711" spans="1:4" ht="30">
      <c r="A711" s="5" t="str">
        <f>HYPERLINK("https://www.oit.va.gov/Services/TRM/ToolPage.aspx?tid=8660^","Panorama Maker")</f>
        <v>Panorama Maker</v>
      </c>
      <c r="B711" s="4" t="s">
        <v>7474</v>
      </c>
      <c r="C711" s="8" t="s">
        <v>5</v>
      </c>
      <c r="D711" s="11" t="s">
        <v>8390</v>
      </c>
    </row>
    <row r="712" spans="1:4" ht="30">
      <c r="A712" s="5" t="str">
        <f>HYPERLINK("https://www.oit.va.gov/Services/TRM/ToolPage.aspx?tid=6109^","Print Creations Cards and Calendars Bundle")</f>
        <v>Print Creations Cards and Calendars Bundle</v>
      </c>
      <c r="B712" s="4" t="s">
        <v>7474</v>
      </c>
      <c r="C712" s="8" t="s">
        <v>5</v>
      </c>
      <c r="D712" s="11" t="s">
        <v>8474</v>
      </c>
    </row>
    <row r="713" spans="1:4" ht="30">
      <c r="A713" s="5" t="str">
        <f>HYPERLINK("https://www.oit.va.gov/Services/TRM/ToolPage.aspx?tid=13390^","Scan-n-Stitch Deluxe")</f>
        <v>Scan-n-Stitch Deluxe</v>
      </c>
      <c r="B713" s="4" t="s">
        <v>7474</v>
      </c>
      <c r="C713" s="8" t="s">
        <v>5</v>
      </c>
      <c r="D713" s="11" t="s">
        <v>2228</v>
      </c>
    </row>
    <row r="714" spans="1:4" ht="30">
      <c r="A714" s="5" t="str">
        <f>HYPERLINK("https://www.oit.va.gov/Services/TRM/ToolPage.aspx?tid=13336^","Webcam Sharing Manager")</f>
        <v>Webcam Sharing Manager</v>
      </c>
      <c r="B714" s="4" t="s">
        <v>7474</v>
      </c>
      <c r="C714" s="8" t="s">
        <v>5</v>
      </c>
      <c r="D714" s="11" t="s">
        <v>6526</v>
      </c>
    </row>
    <row r="715" spans="1:4" ht="30">
      <c r="A715" s="5" t="str">
        <f>HYPERLINK("https://www.oit.va.gov/Services/TRM/ToolPage.aspx?tid=6753^","Arcturus Applicare")</f>
        <v>Arcturus Applicare</v>
      </c>
      <c r="B715" s="4" t="s">
        <v>1139</v>
      </c>
      <c r="C715" s="8" t="s">
        <v>5</v>
      </c>
      <c r="D715" s="11" t="s">
        <v>1140</v>
      </c>
    </row>
    <row r="716" spans="1:4" ht="30">
      <c r="A716" s="5" t="str">
        <f>HYPERLINK("https://www.oit.va.gov/Services/TRM/ToolPage.aspx?tid=13681^","Arduino Integrated Development Environment (IDE)")</f>
        <v>Arduino Integrated Development Environment (IDE)</v>
      </c>
      <c r="B716" s="4" t="s">
        <v>3773</v>
      </c>
      <c r="C716" s="8" t="s">
        <v>5</v>
      </c>
      <c r="D716" s="11" t="s">
        <v>1718</v>
      </c>
    </row>
    <row r="717" spans="1:4" ht="30">
      <c r="A717" s="5" t="str">
        <f>HYPERLINK("https://www.oit.va.gov/Services/TRM/ToolPage.aspx?tid=16051^","Argo Continuous Deployment (CD)")</f>
        <v>Argo Continuous Deployment (CD)</v>
      </c>
      <c r="B717" s="4" t="s">
        <v>3774</v>
      </c>
      <c r="C717" s="8" t="s">
        <v>5</v>
      </c>
      <c r="D717" s="11" t="s">
        <v>3775</v>
      </c>
    </row>
    <row r="718" spans="1:4" ht="30">
      <c r="A718" s="5" t="str">
        <f>HYPERLINK("https://www.oit.va.gov/Services/TRM/ToolPage.aspx?tid=16549^","Argo Rollout")</f>
        <v>Argo Rollout</v>
      </c>
      <c r="B718" s="4" t="s">
        <v>5650</v>
      </c>
      <c r="C718" s="8" t="s">
        <v>5</v>
      </c>
      <c r="D718" s="11" t="s">
        <v>3692</v>
      </c>
    </row>
    <row r="719" spans="1:4" ht="30">
      <c r="A719" s="5" t="str">
        <f>HYPERLINK("https://www.oit.va.gov/Services/TRM/ToolPage.aspx?tid=8722^","PhantomJS")</f>
        <v>PhantomJS</v>
      </c>
      <c r="B719" s="4" t="s">
        <v>5424</v>
      </c>
      <c r="C719" s="8" t="s">
        <v>5</v>
      </c>
      <c r="D719" s="11" t="s">
        <v>5425</v>
      </c>
    </row>
    <row r="720" spans="1:4" ht="30">
      <c r="A720" s="5" t="str">
        <f>HYPERLINK("https://www.oit.va.gov/Services/TRM/ToolPage.aspx?tid=9420^","Esprima")</f>
        <v>Esprima</v>
      </c>
      <c r="B720" s="4" t="s">
        <v>5424</v>
      </c>
      <c r="C720" s="8" t="s">
        <v>5</v>
      </c>
      <c r="D720" s="11" t="s">
        <v>6588</v>
      </c>
    </row>
    <row r="721" spans="1:4" ht="30">
      <c r="A721" s="5" t="str">
        <f>HYPERLINK("https://www.oit.va.gov/Services/TRM/ToolPage.aspx?tid=14325^","PowerTOP")</f>
        <v>PowerTOP</v>
      </c>
      <c r="B721" s="4" t="s">
        <v>8468</v>
      </c>
      <c r="C721" s="8" t="s">
        <v>5</v>
      </c>
      <c r="D721" s="11" t="s">
        <v>8469</v>
      </c>
    </row>
    <row r="722" spans="1:4" ht="30">
      <c r="A722" s="5" t="str">
        <f>HYPERLINK("https://www.oit.va.gov/Services/TRM/ToolPage.aspx?tid=14887^","Mouse Jiggler")</f>
        <v>Mouse Jiggler</v>
      </c>
      <c r="B722" s="4" t="s">
        <v>5366</v>
      </c>
      <c r="C722" s="8" t="s">
        <v>5</v>
      </c>
      <c r="D722" s="11" t="s">
        <v>1496</v>
      </c>
    </row>
    <row r="723" spans="1:4" ht="30">
      <c r="A723" s="5" t="str">
        <f>HYPERLINK("https://www.oit.va.gov/Services/TRM/ToolPage.aspx?tid=16652^","Digital Recirculation Valve (DRV) Programming Software")</f>
        <v>Digital Recirculation Valve (DRV) Programming Software</v>
      </c>
      <c r="B723" s="4" t="s">
        <v>5764</v>
      </c>
      <c r="C723" s="8" t="s">
        <v>5</v>
      </c>
      <c r="D723" s="11" t="s">
        <v>5765</v>
      </c>
    </row>
    <row r="724" spans="1:4" ht="30">
      <c r="A724" s="5" t="str">
        <f>HYPERLINK("https://www.oit.va.gov/Services/TRM/ToolPage.aspx?tid=14420^","SteamEye")</f>
        <v>SteamEye</v>
      </c>
      <c r="B724" s="4" t="s">
        <v>5764</v>
      </c>
      <c r="C724" s="8" t="s">
        <v>5</v>
      </c>
      <c r="D724" s="11" t="s">
        <v>8732</v>
      </c>
    </row>
    <row r="725" spans="1:4" ht="30">
      <c r="A725" s="5" t="str">
        <f>HYPERLINK("https://www.oit.va.gov/Services/TRM/ToolPage.aspx?tid=9365^","Diagnostics")</f>
        <v>Diagnostics</v>
      </c>
      <c r="B725" s="4" t="s">
        <v>6503</v>
      </c>
      <c r="C725" s="8" t="s">
        <v>5</v>
      </c>
      <c r="D725" s="11" t="s">
        <v>648</v>
      </c>
    </row>
    <row r="726" spans="1:4" ht="30">
      <c r="A726" s="5" t="str">
        <f>HYPERLINK("https://www.oit.va.gov/Services/TRM/ToolPage.aspx?tid=11633^","Data Profiler Tool")</f>
        <v>Data Profiler Tool</v>
      </c>
      <c r="B726" s="4" t="s">
        <v>7730</v>
      </c>
      <c r="C726" s="8" t="s">
        <v>5</v>
      </c>
      <c r="D726" s="11" t="s">
        <v>7731</v>
      </c>
    </row>
    <row r="727" spans="1:4" ht="30">
      <c r="A727" s="5" t="str">
        <f>HYPERLINK("https://www.oit.va.gov/Services/TRM/ToolPage.aspx?tid=9174^","AntiSamy")</f>
        <v>AntiSamy</v>
      </c>
      <c r="B727" s="4" t="s">
        <v>7450</v>
      </c>
      <c r="C727" s="8" t="s">
        <v>5</v>
      </c>
      <c r="D727" s="11" t="s">
        <v>5267</v>
      </c>
    </row>
    <row r="728" spans="1:4" ht="30">
      <c r="A728" s="5" t="str">
        <f>HYPERLINK("https://www.oit.va.gov/Services/TRM/ToolPage.aspx?tid=14144^","Pipette Calibration System (PCS) Software")</f>
        <v>Pipette Calibration System (PCS) Software</v>
      </c>
      <c r="B728" s="4" t="s">
        <v>2860</v>
      </c>
      <c r="C728" s="8" t="s">
        <v>5</v>
      </c>
      <c r="D728" s="11" t="s">
        <v>259</v>
      </c>
    </row>
    <row r="729" spans="1:4" ht="30">
      <c r="A729" s="5" t="str">
        <f>HYPERLINK("https://www.oit.va.gov/Services/TRM/ToolPage.aspx?tid=7959^","Artel Pipette Calibration System (PCS)")</f>
        <v>Artel Pipette Calibration System (PCS)</v>
      </c>
      <c r="B729" s="4" t="s">
        <v>2860</v>
      </c>
      <c r="C729" s="8" t="s">
        <v>5</v>
      </c>
      <c r="D729" s="11" t="s">
        <v>5653</v>
      </c>
    </row>
    <row r="730" spans="1:4" ht="30">
      <c r="A730" s="5" t="str">
        <f>HYPERLINK("https://www.oit.va.gov/Services/TRM/ToolPage.aspx?tid=13258^","Articulate 360")</f>
        <v>Articulate 360</v>
      </c>
      <c r="B730" s="4" t="s">
        <v>170</v>
      </c>
      <c r="C730" s="8" t="s">
        <v>5</v>
      </c>
      <c r="D730" s="11" t="s">
        <v>171</v>
      </c>
    </row>
    <row r="731" spans="1:4" ht="30">
      <c r="A731" s="5" t="str">
        <f>HYPERLINK("https://www.oit.va.gov/Services/TRM/ToolPage.aspx?tid=13291^","Articulate Studio")</f>
        <v>Articulate Studio</v>
      </c>
      <c r="B731" s="4" t="s">
        <v>170</v>
      </c>
      <c r="C731" s="8" t="s">
        <v>5</v>
      </c>
      <c r="D731" s="11" t="s">
        <v>172</v>
      </c>
    </row>
    <row r="732" spans="1:4" ht="30">
      <c r="A732" s="5" t="str">
        <f>HYPERLINK("https://www.oit.va.gov/Services/TRM/ToolPage.aspx?tid=11134^","Articulate Storyline 3")</f>
        <v>Articulate Storyline 3</v>
      </c>
      <c r="B732" s="4" t="s">
        <v>170</v>
      </c>
      <c r="C732" s="8" t="s">
        <v>5</v>
      </c>
      <c r="D732" s="11" t="s">
        <v>373</v>
      </c>
    </row>
    <row r="733" spans="1:4" ht="30">
      <c r="A733" s="5" t="str">
        <f>HYPERLINK("https://www.oit.va.gov/Services/TRM/ToolPage.aspx?tid=16337^","Articulate Peek")</f>
        <v>Articulate Peek</v>
      </c>
      <c r="B733" s="4" t="s">
        <v>170</v>
      </c>
      <c r="C733" s="8" t="s">
        <v>5</v>
      </c>
      <c r="D733" s="11" t="s">
        <v>560</v>
      </c>
    </row>
    <row r="734" spans="1:4" ht="30">
      <c r="A734" s="5" t="str">
        <f>HYPERLINK("https://www.oit.va.gov/Services/TRM/ToolPage.aspx?tid=9079^","Articulate Storyline 2")</f>
        <v>Articulate Storyline 2</v>
      </c>
      <c r="B734" s="4" t="s">
        <v>170</v>
      </c>
      <c r="C734" s="8" t="s">
        <v>5</v>
      </c>
      <c r="D734" s="11" t="s">
        <v>2216</v>
      </c>
    </row>
    <row r="735" spans="1:4" ht="30">
      <c r="A735" s="5" t="str">
        <f>HYPERLINK("https://www.oit.va.gov/Services/TRM/ToolPage.aspx?tid=7146^","Articulate Storyline")</f>
        <v>Articulate Storyline</v>
      </c>
      <c r="B735" s="4" t="s">
        <v>170</v>
      </c>
      <c r="C735" s="8" t="s">
        <v>5</v>
      </c>
      <c r="D735" s="11" t="s">
        <v>3150</v>
      </c>
    </row>
    <row r="736" spans="1:4" ht="30">
      <c r="A736" s="5" t="str">
        <f>HYPERLINK("https://www.oit.va.gov/Services/TRM/ToolPage.aspx?tid=6694^","Ghostscript")</f>
        <v>Ghostscript</v>
      </c>
      <c r="B736" s="4" t="s">
        <v>6650</v>
      </c>
      <c r="C736" s="8" t="s">
        <v>5</v>
      </c>
      <c r="D736" s="11" t="s">
        <v>4187</v>
      </c>
    </row>
    <row r="737" spans="1:4" ht="30">
      <c r="A737" s="5" t="str">
        <f>HYPERLINK("https://www.oit.va.gov/Services/TRM/ToolPage.aspx?tid=13914^","ArtRage")</f>
        <v>ArtRage</v>
      </c>
      <c r="B737" s="4" t="s">
        <v>6297</v>
      </c>
      <c r="C737" s="8" t="s">
        <v>5</v>
      </c>
      <c r="D737" s="11" t="s">
        <v>4401</v>
      </c>
    </row>
    <row r="738" spans="1:4" ht="30">
      <c r="A738" s="5" t="str">
        <f>HYPERLINK("https://www.oit.va.gov/Services/TRM/ToolPage.aspx?tid=13824^","ClearPass OnGuard")</f>
        <v>ClearPass OnGuard</v>
      </c>
      <c r="B738" s="4" t="s">
        <v>379</v>
      </c>
      <c r="C738" s="8" t="s">
        <v>5</v>
      </c>
      <c r="D738" s="11" t="s">
        <v>380</v>
      </c>
    </row>
    <row r="739" spans="1:4" ht="30">
      <c r="A739" s="5" t="str">
        <f>HYPERLINK("https://www.oit.va.gov/Services/TRM/ToolPage.aspx?tid=11183^","Skillpipe Reader")</f>
        <v>Skillpipe Reader</v>
      </c>
      <c r="B739" s="4" t="s">
        <v>8665</v>
      </c>
      <c r="C739" s="8" t="s">
        <v>5</v>
      </c>
      <c r="D739" s="11" t="s">
        <v>8666</v>
      </c>
    </row>
    <row r="740" spans="1:4" ht="30">
      <c r="A740" s="5" t="str">
        <f>HYPERLINK("https://www.oit.va.gov/Services/TRM/ToolPage.aspx?tid=9376^","MedSelect Flex")</f>
        <v>MedSelect Flex</v>
      </c>
      <c r="B740" s="4" t="s">
        <v>2760</v>
      </c>
      <c r="C740" s="8" t="s">
        <v>5</v>
      </c>
      <c r="D740" s="11" t="s">
        <v>162</v>
      </c>
    </row>
    <row r="741" spans="1:4" ht="30">
      <c r="A741" s="5" t="str">
        <f>HYPERLINK("https://www.oit.va.gov/Services/TRM/ToolPage.aspx?tid=9914^","RxWorks Pro")</f>
        <v>RxWorks Pro</v>
      </c>
      <c r="B741" s="4" t="s">
        <v>2760</v>
      </c>
      <c r="C741" s="8" t="s">
        <v>5</v>
      </c>
      <c r="D741" s="11" t="s">
        <v>4281</v>
      </c>
    </row>
    <row r="742" spans="1:4" ht="30">
      <c r="A742" s="5" t="str">
        <f>HYPERLINK("https://www.oit.va.gov/Services/TRM/ToolPage.aspx?tid=10957^","ASC Neo")</f>
        <v>ASC Neo</v>
      </c>
      <c r="B742" s="4" t="s">
        <v>3778</v>
      </c>
      <c r="C742" s="8" t="s">
        <v>5</v>
      </c>
      <c r="D742" s="11" t="s">
        <v>3779</v>
      </c>
    </row>
    <row r="743" spans="1:4" ht="30">
      <c r="A743" s="5" t="str">
        <f>HYPERLINK("https://www.oit.va.gov/Services/TRM/ToolPage.aspx?tid=13612^","GlucoFacts Deluxe")</f>
        <v>GlucoFacts Deluxe</v>
      </c>
      <c r="B743" s="4" t="s">
        <v>7986</v>
      </c>
      <c r="C743" s="8" t="s">
        <v>5</v>
      </c>
      <c r="D743" s="11" t="s">
        <v>3513</v>
      </c>
    </row>
    <row r="744" spans="1:4" ht="30">
      <c r="A744" s="5" t="str">
        <f>HYPERLINK("https://www.oit.va.gov/Services/TRM/ToolPage.aspx?tid=14867^","Advanced Digital Signature Services (ADSS) Certificate Revocation List (CRL) Monitor")</f>
        <v>Advanced Digital Signature Services (ADSS) Certificate Revocation List (CRL) Monitor</v>
      </c>
      <c r="B744" s="4" t="s">
        <v>6248</v>
      </c>
      <c r="C744" s="8" t="s">
        <v>5</v>
      </c>
      <c r="D744" s="11" t="s">
        <v>1322</v>
      </c>
    </row>
    <row r="745" spans="1:4" ht="30">
      <c r="A745" s="5" t="str">
        <f>HYPERLINK("https://www.oit.va.gov/Services/TRM/ToolPage.aspx?tid=14866^","Advanced Digital Signature Services (ADSS) Online Certificate Status Checking (OCSP) Server")</f>
        <v>Advanced Digital Signature Services (ADSS) Online Certificate Status Checking (OCSP) Server</v>
      </c>
      <c r="B745" s="4" t="s">
        <v>6248</v>
      </c>
      <c r="C745" s="8" t="s">
        <v>5</v>
      </c>
      <c r="D745" s="11" t="s">
        <v>1322</v>
      </c>
    </row>
    <row r="746" spans="1:4" ht="30">
      <c r="A746" s="5" t="str">
        <f>HYPERLINK("https://www.oit.va.gov/Services/TRM/ToolPage.aspx?tid=14860^","Advanced Digital Signature Services (ADSS) Online Certificate Status Protocol (OCSP) Crusher")</f>
        <v>Advanced Digital Signature Services (ADSS) Online Certificate Status Protocol (OCSP) Crusher</v>
      </c>
      <c r="B746" s="4" t="s">
        <v>6248</v>
      </c>
      <c r="C746" s="8" t="s">
        <v>5</v>
      </c>
      <c r="D746" s="11" t="s">
        <v>1322</v>
      </c>
    </row>
    <row r="747" spans="1:4" ht="30">
      <c r="A747" s="5" t="str">
        <f>HYPERLINK("https://www.oit.va.gov/Services/TRM/ToolPage.aspx?tid=14013^","Ascom Unite Administration Server")</f>
        <v>Ascom Unite Administration Server</v>
      </c>
      <c r="B747" s="4" t="s">
        <v>2383</v>
      </c>
      <c r="C747" s="8" t="s">
        <v>5</v>
      </c>
      <c r="D747" s="11" t="s">
        <v>2384</v>
      </c>
    </row>
    <row r="748" spans="1:4" ht="30">
      <c r="A748" s="5" t="str">
        <f>HYPERLINK("https://www.oit.va.gov/Services/TRM/ToolPage.aspx?tid=13540^","Ascom Telligence Nurse Call System")</f>
        <v>Ascom Telligence Nurse Call System</v>
      </c>
      <c r="B748" s="4" t="s">
        <v>2383</v>
      </c>
      <c r="C748" s="8" t="s">
        <v>5</v>
      </c>
      <c r="D748" s="11" t="s">
        <v>3780</v>
      </c>
    </row>
    <row r="749" spans="1:4" ht="30">
      <c r="A749" s="5" t="str">
        <f>HYPERLINK("https://www.oit.va.gov/Services/TRM/ToolPage.aspx?tid=11116^","Ascom Unite Analyze Reporting")</f>
        <v>Ascom Unite Analyze Reporting</v>
      </c>
      <c r="B749" s="4" t="s">
        <v>2383</v>
      </c>
      <c r="C749" s="8" t="s">
        <v>5</v>
      </c>
      <c r="D749" s="11" t="s">
        <v>1467</v>
      </c>
    </row>
    <row r="750" spans="1:4" ht="30">
      <c r="A750" s="5" t="str">
        <f>HYPERLINK("https://www.oit.va.gov/Services/TRM/ToolPage.aspx?tid=11169^","Ascom Report Manager")</f>
        <v>Ascom Report Manager</v>
      </c>
      <c r="B750" s="4" t="s">
        <v>2383</v>
      </c>
      <c r="C750" s="8" t="s">
        <v>5</v>
      </c>
      <c r="D750" s="11" t="s">
        <v>7482</v>
      </c>
    </row>
    <row r="751" spans="1:4" ht="30">
      <c r="A751" s="5" t="str">
        <f>HYPERLINK("https://www.oit.va.gov/Services/TRM/StandardPage.aspx?tid=6307^","ASC X12N Benefit Enrollment and Maintenance (834)")</f>
        <v>ASC X12N Benefit Enrollment and Maintenance (834)</v>
      </c>
      <c r="B751" s="4" t="s">
        <v>1314</v>
      </c>
      <c r="C751" s="8" t="s">
        <v>5</v>
      </c>
      <c r="D751" s="11" t="s">
        <v>1315</v>
      </c>
    </row>
    <row r="752" spans="1:4" ht="30">
      <c r="A752" s="5" t="str">
        <f>HYPERLINK("https://www.oit.va.gov/Services/TRM/StandardPage.aspx?tid=6347^","ASC X12N Health Care Claim (837)")</f>
        <v>ASC X12N Health Care Claim (837)</v>
      </c>
      <c r="B752" s="4" t="s">
        <v>1314</v>
      </c>
      <c r="C752" s="8" t="s">
        <v>5</v>
      </c>
      <c r="D752" s="11" t="s">
        <v>1316</v>
      </c>
    </row>
    <row r="753" spans="1:4" ht="30">
      <c r="A753" s="5" t="str">
        <f>HYPERLINK("https://www.oit.va.gov/Services/TRM/StandardPage.aspx?tid=6308^","ASC X12N Health Care Claim Status Request and Response (276/277)")</f>
        <v>ASC X12N Health Care Claim Status Request and Response (276/277)</v>
      </c>
      <c r="B753" s="4" t="s">
        <v>1314</v>
      </c>
      <c r="C753" s="8" t="s">
        <v>5</v>
      </c>
      <c r="D753" s="11" t="s">
        <v>1316</v>
      </c>
    </row>
    <row r="754" spans="1:4" ht="30">
      <c r="A754" s="5" t="str">
        <f>HYPERLINK("https://www.oit.va.gov/Services/TRM/StandardPage.aspx?tid=6349^","ASC X12N Health Care Eligibility Benefit Inquiry and Response (270/271)")</f>
        <v>ASC X12N Health Care Eligibility Benefit Inquiry and Response (270/271)</v>
      </c>
      <c r="B754" s="4" t="s">
        <v>1314</v>
      </c>
      <c r="C754" s="8" t="s">
        <v>5</v>
      </c>
      <c r="D754" s="11" t="s">
        <v>1316</v>
      </c>
    </row>
    <row r="755" spans="1:4" ht="30">
      <c r="A755" s="5" t="str">
        <f>HYPERLINK("https://www.oit.va.gov/Services/TRM/StandardPage.aspx?tid=6309^","ASC X12N Health Care Services Review: Request for Review and Response (278)")</f>
        <v>ASC X12N Health Care Services Review: Request for Review and Response (278)</v>
      </c>
      <c r="B755" s="4" t="s">
        <v>1314</v>
      </c>
      <c r="C755" s="8" t="s">
        <v>5</v>
      </c>
      <c r="D755" s="11" t="s">
        <v>1317</v>
      </c>
    </row>
    <row r="756" spans="1:4" ht="30">
      <c r="A756" s="5" t="str">
        <f>HYPERLINK("https://www.oit.va.gov/Services/TRM/StandardPage.aspx?tid=6310^","ASC X12N Payroll Deducted and Other Group Premium Payment for Insurance Products (820)")</f>
        <v>ASC X12N Payroll Deducted and Other Group Premium Payment for Insurance Products (820)</v>
      </c>
      <c r="B756" s="4" t="s">
        <v>1314</v>
      </c>
      <c r="C756" s="8" t="s">
        <v>5</v>
      </c>
      <c r="D756" s="11" t="s">
        <v>1317</v>
      </c>
    </row>
    <row r="757" spans="1:4" ht="30">
      <c r="A757" s="5" t="str">
        <f>HYPERLINK("https://www.oit.va.gov/Services/TRM/StandardPage.aspx?tid=6348^","Accredited Standards Committee X12 Health Care Claim: Payment/Advice Number 835")</f>
        <v>Accredited Standards Committee X12 Health Care Claim: Payment/Advice Number 835</v>
      </c>
      <c r="B757" s="4" t="s">
        <v>1314</v>
      </c>
      <c r="C757" s="8" t="s">
        <v>5</v>
      </c>
      <c r="D757" s="11" t="s">
        <v>3695</v>
      </c>
    </row>
    <row r="758" spans="1:4" ht="30">
      <c r="A758" s="5" t="str">
        <f>HYPERLINK("https://www.oit.va.gov/Services/TRM/StandardPage.aspx?tid=14145^","ASC X12N Additional Information to Support a Health Care Claim or Encounter (275)")</f>
        <v>ASC X12N Additional Information to Support a Health Care Claim or Encounter (275)</v>
      </c>
      <c r="B758" s="4" t="s">
        <v>1314</v>
      </c>
      <c r="C758" s="8" t="s">
        <v>5</v>
      </c>
      <c r="D758" s="11" t="s">
        <v>7481</v>
      </c>
    </row>
    <row r="759" spans="1:4" ht="30">
      <c r="A759" s="5" t="str">
        <f>HYPERLINK("https://www.oit.va.gov/Services/TRM/ToolPage.aspx?tid=13557^","ASG-Remote Desktop")</f>
        <v>ASG-Remote Desktop</v>
      </c>
      <c r="B759" s="4" t="s">
        <v>7483</v>
      </c>
      <c r="C759" s="8" t="s">
        <v>5</v>
      </c>
      <c r="D759" s="11" t="s">
        <v>7417</v>
      </c>
    </row>
    <row r="760" spans="1:4" ht="30">
      <c r="A760" s="5" t="str">
        <f>HYPERLINK("https://www.oit.va.gov/Services/TRM/ToolPage.aspx?tid=9462^","Ashampoo Burning Studio Free")</f>
        <v>Ashampoo Burning Studio Free</v>
      </c>
      <c r="B760" s="4" t="s">
        <v>7484</v>
      </c>
      <c r="C760" s="8" t="s">
        <v>5</v>
      </c>
      <c r="D760" s="11" t="s">
        <v>7485</v>
      </c>
    </row>
    <row r="761" spans="1:4" ht="30">
      <c r="A761" s="5" t="str">
        <f>HYPERLINK("https://www.oit.va.gov/Services/TRM/ToolPage.aspx?tid=15975^","Gafchromic FilmQA Pro")</f>
        <v>Gafchromic FilmQA Pro</v>
      </c>
      <c r="B761" s="4" t="s">
        <v>4169</v>
      </c>
      <c r="C761" s="8" t="s">
        <v>5</v>
      </c>
      <c r="D761" s="11" t="s">
        <v>318</v>
      </c>
    </row>
    <row r="762" spans="1:4" ht="30">
      <c r="A762" s="5" t="str">
        <f>HYPERLINK("https://www.oit.va.gov/Services/TRM/ToolPage.aspx?tid=12993^","Graphite")</f>
        <v>Graphite</v>
      </c>
      <c r="B762" s="4" t="s">
        <v>4196</v>
      </c>
      <c r="C762" s="8" t="s">
        <v>5</v>
      </c>
      <c r="D762" s="11" t="s">
        <v>4197</v>
      </c>
    </row>
    <row r="763" spans="1:4" ht="30">
      <c r="A763" s="5" t="str">
        <f>HYPERLINK("https://www.oit.va.gov/Services/TRM/ToolPage.aspx?tid=13024^","Share (Computer Aided Design) CAD and (Three Dimensional) 3D Modeling Viewer")</f>
        <v>Share (Computer Aided Design) CAD and (Three Dimensional) 3D Modeling Viewer</v>
      </c>
      <c r="B763" s="4" t="s">
        <v>4196</v>
      </c>
      <c r="C763" s="8" t="s">
        <v>5</v>
      </c>
      <c r="D763" s="11" t="s">
        <v>4783</v>
      </c>
    </row>
    <row r="764" spans="1:4" ht="30">
      <c r="A764" s="5" t="str">
        <f>HYPERLINK("https://www.oit.va.gov/Services/TRM/ToolPage.aspx?tid=16320^","Asiga Composer")</f>
        <v>Asiga Composer</v>
      </c>
      <c r="B764" s="4" t="s">
        <v>7486</v>
      </c>
      <c r="C764" s="8" t="s">
        <v>5</v>
      </c>
      <c r="D764" s="11" t="s">
        <v>6816</v>
      </c>
    </row>
    <row r="765" spans="1:4" ht="30">
      <c r="A765" s="5" t="str">
        <f>HYPERLINK("https://www.oit.va.gov/Services/TRM/ToolPage.aspx?tid=10168^","Asigra Cloud Backup")</f>
        <v>Asigra Cloud Backup</v>
      </c>
      <c r="B765" s="4" t="s">
        <v>3781</v>
      </c>
      <c r="C765" s="8" t="s">
        <v>5</v>
      </c>
      <c r="D765" s="11" t="s">
        <v>3782</v>
      </c>
    </row>
    <row r="766" spans="1:4" ht="30">
      <c r="A766" s="5" t="str">
        <f>HYPERLINK("https://www.oit.va.gov/Services/TRM/ToolPage.aspx?tid=14872^","Ask Shopping Toolbar")</f>
        <v>Ask Shopping Toolbar</v>
      </c>
      <c r="B766" s="4" t="s">
        <v>3151</v>
      </c>
      <c r="C766" s="8" t="s">
        <v>5</v>
      </c>
      <c r="D766" s="11" t="s">
        <v>1352</v>
      </c>
    </row>
    <row r="767" spans="1:4" ht="30">
      <c r="A767" s="5" t="str">
        <f>HYPERLINK("https://www.oit.va.gov/Services/TRM/ToolPage.aspx?tid=6242^","ASM Bytecode Framework")</f>
        <v>ASM Bytecode Framework</v>
      </c>
      <c r="B767" s="4" t="s">
        <v>2385</v>
      </c>
      <c r="C767" s="8" t="s">
        <v>5</v>
      </c>
      <c r="D767" s="11" t="s">
        <v>2386</v>
      </c>
    </row>
    <row r="768" spans="1:4" ht="30">
      <c r="A768" s="5" t="str">
        <f>HYPERLINK("https://www.oit.va.gov/Services/TRM/ToolPage.aspx?tid=11405^","Microsoft ASP.NET Razor")</f>
        <v>Microsoft ASP.NET Razor</v>
      </c>
      <c r="B768" s="4" t="s">
        <v>74</v>
      </c>
      <c r="C768" s="8" t="s">
        <v>5</v>
      </c>
      <c r="D768" s="11" t="s">
        <v>75</v>
      </c>
    </row>
    <row r="769" spans="1:4" ht="30">
      <c r="A769" s="5" t="str">
        <f>HYPERLINK("https://www.oit.va.gov/Services/TRM/ToolPage.aspx?tid=16142^","Aspose.Imaging for .NET")</f>
        <v>Aspose.Imaging for .NET</v>
      </c>
      <c r="B769" s="4" t="s">
        <v>28</v>
      </c>
      <c r="C769" s="8" t="s">
        <v>5</v>
      </c>
      <c r="D769" s="11" t="s">
        <v>29</v>
      </c>
    </row>
    <row r="770" spans="1:4" ht="30">
      <c r="A770" s="5" t="str">
        <f>HYPERLINK("https://www.oit.va.gov/Services/TRM/ToolPage.aspx?tid=16140^","Aspose.Portable Document Format (Aspose.PDF) for .NET")</f>
        <v>Aspose.Portable Document Format (Aspose.PDF) for .NET</v>
      </c>
      <c r="B770" s="4" t="s">
        <v>28</v>
      </c>
      <c r="C770" s="8" t="s">
        <v>5</v>
      </c>
      <c r="D770" s="11" t="s">
        <v>30</v>
      </c>
    </row>
    <row r="771" spans="1:4" ht="30">
      <c r="A771" s="5" t="str">
        <f>HYPERLINK("https://www.oit.va.gov/Services/TRM/ToolPage.aspx?tid=16139^","Aspose.Optical Character Recognition (OCR) for .NET")</f>
        <v>Aspose.Optical Character Recognition (OCR) for .NET</v>
      </c>
      <c r="B771" s="4" t="s">
        <v>28</v>
      </c>
      <c r="C771" s="8" t="s">
        <v>5</v>
      </c>
      <c r="D771" s="11" t="s">
        <v>71</v>
      </c>
    </row>
    <row r="772" spans="1:4" ht="30">
      <c r="A772" s="5" t="str">
        <f>HYPERLINK("https://www.oit.va.gov/Services/TRM/ToolPage.aspx?tid=16138^","Aspose.BarCode for .NET")</f>
        <v>Aspose.BarCode for .NET</v>
      </c>
      <c r="B772" s="4" t="s">
        <v>28</v>
      </c>
      <c r="C772" s="8" t="s">
        <v>5</v>
      </c>
      <c r="D772" s="11" t="s">
        <v>71</v>
      </c>
    </row>
    <row r="773" spans="1:4" ht="30">
      <c r="A773" s="5" t="str">
        <f>HYPERLINK("https://www.oit.va.gov/Services/TRM/ToolPage.aspx?tid=7149^","Aspose.Words for Java")</f>
        <v>Aspose.Words for Java</v>
      </c>
      <c r="B773" s="4" t="s">
        <v>28</v>
      </c>
      <c r="C773" s="8" t="s">
        <v>5</v>
      </c>
      <c r="D773" s="11" t="s">
        <v>495</v>
      </c>
    </row>
    <row r="774" spans="1:4" ht="30">
      <c r="A774" s="5" t="str">
        <f>HYPERLINK("https://www.oit.va.gov/Services/TRM/ToolPage.aspx?tid=7224^","Aspose.Words for .NET")</f>
        <v>Aspose.Words for .NET</v>
      </c>
      <c r="B774" s="4" t="s">
        <v>28</v>
      </c>
      <c r="C774" s="8" t="s">
        <v>5</v>
      </c>
      <c r="D774" s="11" t="s">
        <v>1141</v>
      </c>
    </row>
    <row r="775" spans="1:4" ht="30">
      <c r="A775" s="5" t="str">
        <f>HYPERLINK("https://www.oit.va.gov/Services/TRM/ToolPage.aspx?tid=7148^","Aspose.Words for JasperReports")</f>
        <v>Aspose.Words for JasperReports</v>
      </c>
      <c r="B775" s="4" t="s">
        <v>28</v>
      </c>
      <c r="C775" s="8" t="s">
        <v>5</v>
      </c>
      <c r="D775" s="11" t="s">
        <v>431</v>
      </c>
    </row>
    <row r="776" spans="1:4" ht="30">
      <c r="A776" s="5" t="str">
        <f>HYPERLINK("https://www.oit.va.gov/Services/TRM/ToolPage.aspx?tid=7720^","Aspose.Cells for Java")</f>
        <v>Aspose.Cells for Java</v>
      </c>
      <c r="B776" s="4" t="s">
        <v>28</v>
      </c>
      <c r="C776" s="8" t="s">
        <v>5</v>
      </c>
      <c r="D776" s="11" t="s">
        <v>2388</v>
      </c>
    </row>
    <row r="777" spans="1:4" ht="30">
      <c r="A777" s="5" t="str">
        <f>HYPERLINK("https://www.oit.va.gov/Services/TRM/ToolPage.aspx?tid=11188^","CLIQ Connect")</f>
        <v>CLIQ Connect</v>
      </c>
      <c r="B777" s="4" t="s">
        <v>2463</v>
      </c>
      <c r="C777" s="8" t="s">
        <v>5</v>
      </c>
      <c r="D777" s="11" t="s">
        <v>2464</v>
      </c>
    </row>
    <row r="778" spans="1:4" ht="30">
      <c r="A778" s="5" t="str">
        <f>HYPERLINK("https://www.oit.va.gov/Services/TRM/ToolPage.aspx?tid=14214^","CLIQ Web Manager")</f>
        <v>CLIQ Web Manager</v>
      </c>
      <c r="B778" s="4" t="s">
        <v>2463</v>
      </c>
      <c r="C778" s="8" t="s">
        <v>5</v>
      </c>
      <c r="D778" s="11" t="s">
        <v>5716</v>
      </c>
    </row>
    <row r="779" spans="1:4" ht="30">
      <c r="A779" s="5" t="str">
        <f>HYPERLINK("https://www.oit.va.gov/Services/TRM/ToolPage.aspx?tid=16774^","Persona Campus Online")</f>
        <v>Persona Campus Online</v>
      </c>
      <c r="B779" s="4" t="s">
        <v>2463</v>
      </c>
      <c r="C779" s="8" t="s">
        <v>5</v>
      </c>
      <c r="D779" s="11" t="s">
        <v>5996</v>
      </c>
    </row>
    <row r="780" spans="1:4" ht="30">
      <c r="A780" s="5" t="str">
        <f>HYPERLINK("https://www.oit.va.gov/Services/TRM/ToolPage.aspx?tid=13764^","Assessment Center Application Program Interface (API)")</f>
        <v>Assessment Center Application Program Interface (API)</v>
      </c>
      <c r="B780" s="4" t="s">
        <v>5656</v>
      </c>
      <c r="C780" s="8" t="s">
        <v>5</v>
      </c>
      <c r="D780" s="11" t="s">
        <v>5657</v>
      </c>
    </row>
    <row r="781" spans="1:4" ht="30">
      <c r="A781" s="5" t="str">
        <f>HYPERLINK("https://www.oit.va.gov/Services/TRM/ToolPage.aspx?tid=5561^","Atlantic Link")</f>
        <v>Atlantic Link</v>
      </c>
      <c r="B781" s="4" t="s">
        <v>5063</v>
      </c>
      <c r="C781" s="8" t="s">
        <v>5</v>
      </c>
      <c r="D781" s="11" t="s">
        <v>5064</v>
      </c>
    </row>
    <row r="782" spans="1:4" ht="30">
      <c r="A782" s="5" t="str">
        <f>HYPERLINK("https://www.oit.va.gov/Services/TRM/ToolPage.aspx?tid=8725^","Astera ReportMiner")</f>
        <v>Astera ReportMiner</v>
      </c>
      <c r="B782" s="4" t="s">
        <v>3783</v>
      </c>
      <c r="C782" s="8" t="s">
        <v>5</v>
      </c>
      <c r="D782" s="11" t="s">
        <v>429</v>
      </c>
    </row>
    <row r="783" spans="1:4" ht="30">
      <c r="A783" s="5" t="str">
        <f>HYPERLINK("https://www.oit.va.gov/Services/TRM/StandardPage.aspx?tid=5312^","Electronic Authentication of Health Care Information")</f>
        <v>Electronic Authentication of Health Care Information</v>
      </c>
      <c r="B783" s="4" t="s">
        <v>5167</v>
      </c>
      <c r="C783" s="8" t="s">
        <v>5</v>
      </c>
      <c r="D783" s="11" t="s">
        <v>5168</v>
      </c>
    </row>
    <row r="784" spans="1:4" ht="45">
      <c r="A784" s="5" t="str">
        <f>HYPERLINK("https://www.oit.va.gov/Services/TRM/StandardPage.aspx?tid=8225^","American Society for Testing and Materials (ASTM) E2147 - 01 Standard Specification for Audit and Disclosure Logs for Use in Health Information Systems")</f>
        <v>American Society for Testing and Materials (ASTM) E2147 - 01 Standard Specification for Audit and Disclosure Logs for Use in Health Information Systems</v>
      </c>
      <c r="B784" s="4" t="s">
        <v>5167</v>
      </c>
      <c r="C784" s="8" t="s">
        <v>5</v>
      </c>
      <c r="D784" s="11" t="s">
        <v>5633</v>
      </c>
    </row>
    <row r="785" spans="1:4" ht="45">
      <c r="A785" s="5" t="str">
        <f>HYPERLINK("https://www.oit.va.gov/Services/TRM/StandardPage.aspx?tid=10116^","American Society for Testing and Materials (ASTM) E2595 - 07(2013) Standard Guide for Privilege Management Infrastructure")</f>
        <v>American Society for Testing and Materials (ASTM) E2595 - 07(2013) Standard Guide for Privilege Management Infrastructure</v>
      </c>
      <c r="B785" s="4" t="s">
        <v>5167</v>
      </c>
      <c r="C785" s="8" t="s">
        <v>5</v>
      </c>
      <c r="D785" s="11" t="s">
        <v>3610</v>
      </c>
    </row>
    <row r="786" spans="1:4" ht="30">
      <c r="A786" s="5" t="str">
        <f>HYPERLINK("https://www.oit.va.gov/Services/TRM/StandardPage.aspx?tid=9477^","ASTM E2147 Standard Specification for Audit and Disclosures Logs for use in Health Information")</f>
        <v>ASTM E2147 Standard Specification for Audit and Disclosures Logs for use in Health Information</v>
      </c>
      <c r="B786" s="4" t="s">
        <v>5167</v>
      </c>
      <c r="C786" s="8" t="s">
        <v>5</v>
      </c>
      <c r="D786" s="11" t="s">
        <v>7492</v>
      </c>
    </row>
    <row r="787" spans="1:4" ht="30">
      <c r="A787" s="5" t="str">
        <f>HYPERLINK("https://www.oit.va.gov/Services/TRM/StandardPage.aspx?tid=5331^","Universal Healthcare Identifier (UHID)")</f>
        <v>Universal Healthcare Identifier (UHID)</v>
      </c>
      <c r="B787" s="4" t="s">
        <v>5167</v>
      </c>
      <c r="C787" s="8" t="s">
        <v>5</v>
      </c>
      <c r="D787" s="11" t="s">
        <v>3596</v>
      </c>
    </row>
    <row r="788" spans="1:4" ht="30">
      <c r="A788" s="5" t="str">
        <f>HYPERLINK("https://www.oit.va.gov/Services/TRM/ToolPage.aspx?tid=13053^","DeepBurner")</f>
        <v>DeepBurner</v>
      </c>
      <c r="B788" s="4" t="s">
        <v>7748</v>
      </c>
      <c r="C788" s="8" t="s">
        <v>5</v>
      </c>
      <c r="D788" s="11" t="s">
        <v>6486</v>
      </c>
    </row>
    <row r="789" spans="1:4" ht="30">
      <c r="A789" s="5" t="str">
        <f>HYPERLINK("https://www.oit.va.gov/Services/TRM/ToolPage.aspx?tid=13738^","AstroGrep")</f>
        <v>AstroGrep</v>
      </c>
      <c r="B789" s="4" t="s">
        <v>7494</v>
      </c>
      <c r="C789" s="8" t="s">
        <v>5</v>
      </c>
      <c r="D789" s="11" t="s">
        <v>7495</v>
      </c>
    </row>
    <row r="790" spans="1:4" ht="30">
      <c r="A790" s="5" t="str">
        <f>HYPERLINK("https://www.oit.va.gov/Services/TRM/ToolPage.aspx?tid=14769^","Solar Fire")</f>
        <v>Solar Fire</v>
      </c>
      <c r="B790" s="4" t="s">
        <v>8689</v>
      </c>
      <c r="C790" s="8" t="s">
        <v>5</v>
      </c>
      <c r="D790" s="11" t="s">
        <v>8690</v>
      </c>
    </row>
    <row r="791" spans="1:4" ht="30">
      <c r="A791" s="5" t="str">
        <f>HYPERLINK("https://www.oit.va.gov/Services/TRM/ToolPage.aspx?tid=11091^","Preview Treatment Planning Software")</f>
        <v>Preview Treatment Planning Software</v>
      </c>
      <c r="B791" s="4" t="s">
        <v>6006</v>
      </c>
      <c r="C791" s="8" t="s">
        <v>5</v>
      </c>
      <c r="D791" s="11" t="s">
        <v>2818</v>
      </c>
    </row>
    <row r="792" spans="1:4" ht="30">
      <c r="A792" s="5" t="str">
        <f>HYPERLINK("https://www.oit.va.gov/Services/TRM/ToolPage.aspx?tid=7090^","AsureSpace Meeting Room Manager")</f>
        <v>AsureSpace Meeting Room Manager</v>
      </c>
      <c r="B792" s="4" t="s">
        <v>7496</v>
      </c>
      <c r="C792" s="8" t="s">
        <v>5</v>
      </c>
      <c r="D792" s="11" t="s">
        <v>7497</v>
      </c>
    </row>
    <row r="793" spans="1:4" ht="30">
      <c r="A793" s="5" t="str">
        <f>HYPERLINK("https://www.oit.va.gov/Services/TRM/ToolPage.aspx?tid=10639^","AT&amp;T AllAccess")</f>
        <v>AT&amp;T AllAccess</v>
      </c>
      <c r="B793" s="4" t="s">
        <v>6179</v>
      </c>
      <c r="C793" s="8" t="s">
        <v>5</v>
      </c>
      <c r="D793" s="11" t="s">
        <v>6180</v>
      </c>
    </row>
    <row r="794" spans="1:4" ht="30">
      <c r="A794" s="5" t="str">
        <f>HYPERLINK("https://www.oit.va.gov/Services/TRM/ToolPage.aspx?tid=14061^","AT&amp;T Global Network Client")</f>
        <v>AT&amp;T Global Network Client</v>
      </c>
      <c r="B794" s="4" t="s">
        <v>6179</v>
      </c>
      <c r="C794" s="8" t="s">
        <v>5</v>
      </c>
      <c r="D794" s="11" t="s">
        <v>6270</v>
      </c>
    </row>
    <row r="795" spans="1:4" ht="30">
      <c r="A795" s="5" t="str">
        <f>HYPERLINK("https://www.oit.va.gov/Services/TRM/ToolPage.aspx?tid=13418^","American Telephone and Telegraph (AT&amp;T) Connect Participant Application")</f>
        <v>American Telephone and Telegraph (AT&amp;T) Connect Participant Application</v>
      </c>
      <c r="B795" s="4" t="s">
        <v>6179</v>
      </c>
      <c r="C795" s="8" t="s">
        <v>5</v>
      </c>
      <c r="D795" s="11" t="s">
        <v>6256</v>
      </c>
    </row>
    <row r="796" spans="1:4" ht="30">
      <c r="A796" s="5" t="str">
        <f>HYPERLINK("https://www.oit.va.gov/Services/TRM/ToolPage.aspx?tid=13558^","AT&amp;T Communication Manager (ACM)")</f>
        <v>AT&amp;T Communication Manager (ACM)</v>
      </c>
      <c r="B796" s="4" t="s">
        <v>6179</v>
      </c>
      <c r="C796" s="8" t="s">
        <v>5</v>
      </c>
      <c r="D796" s="11" t="s">
        <v>3367</v>
      </c>
    </row>
    <row r="797" spans="1:4" ht="30">
      <c r="A797" s="5" t="str">
        <f>HYPERLINK("https://www.oit.va.gov/Services/TRM/ToolPage.aspx?tid=6255^","Graphviz")</f>
        <v>Graphviz</v>
      </c>
      <c r="B797" s="4" t="s">
        <v>2134</v>
      </c>
      <c r="C797" s="8" t="s">
        <v>5</v>
      </c>
      <c r="D797" s="11" t="s">
        <v>641</v>
      </c>
    </row>
    <row r="798" spans="1:4" ht="30">
      <c r="A798" s="5" t="str">
        <f>HYPERLINK("https://www.oit.va.gov/Services/TRM/ToolPage.aspx?tid=13750^","DJ Java Decompiler")</f>
        <v>DJ Java Decompiler</v>
      </c>
      <c r="B798" s="4" t="s">
        <v>5771</v>
      </c>
      <c r="C798" s="8" t="s">
        <v>5</v>
      </c>
      <c r="D798" s="11" t="s">
        <v>633</v>
      </c>
    </row>
    <row r="799" spans="1:4" ht="30">
      <c r="A799" s="5" t="str">
        <f>HYPERLINK("https://www.oit.va.gov/Services/TRM/ToolPage.aspx?tid=11413^","Onetastic for Microsoft OneNote")</f>
        <v>Onetastic for Microsoft OneNote</v>
      </c>
      <c r="B799" s="4" t="s">
        <v>6960</v>
      </c>
      <c r="C799" s="8" t="s">
        <v>5</v>
      </c>
      <c r="D799" s="11" t="s">
        <v>6961</v>
      </c>
    </row>
    <row r="800" spans="1:4" ht="30">
      <c r="A800" s="5" t="str">
        <f>HYPERLINK("https://www.oit.va.gov/Services/TRM/ToolPage.aspx?tid=13219^","SphygmoCor XCEL Software Suite")</f>
        <v>SphygmoCor XCEL Software Suite</v>
      </c>
      <c r="B800" s="4" t="s">
        <v>6083</v>
      </c>
      <c r="C800" s="8" t="s">
        <v>5</v>
      </c>
      <c r="D800" s="11" t="s">
        <v>3806</v>
      </c>
    </row>
    <row r="801" spans="1:4" ht="30">
      <c r="A801" s="5" t="str">
        <f>HYPERLINK("https://www.oit.va.gov/Services/TRM/ToolPage.aspx?tid=5883^","Atelier Web Remote Commander")</f>
        <v>Atelier Web Remote Commander</v>
      </c>
      <c r="B801" s="4" t="s">
        <v>7499</v>
      </c>
      <c r="C801" s="8" t="s">
        <v>5</v>
      </c>
      <c r="D801" s="11" t="s">
        <v>7500</v>
      </c>
    </row>
    <row r="802" spans="1:4" ht="30">
      <c r="A802" s="5" t="str">
        <f>HYPERLINK("https://www.oit.va.gov/Services/TRM/ToolPage.aspx?tid=14444^","TrackVis")</f>
        <v>TrackVis</v>
      </c>
      <c r="B802" s="4" t="s">
        <v>1999</v>
      </c>
      <c r="C802" s="8" t="s">
        <v>5</v>
      </c>
      <c r="D802" s="11" t="s">
        <v>2000</v>
      </c>
    </row>
    <row r="803" spans="1:4" ht="30">
      <c r="A803" s="5" t="str">
        <f>HYPERLINK("https://www.oit.va.gov/Services/TRM/ToolPage.aspx?tid=7886^","Error Logging Modules and Handlers (ELMAH)")</f>
        <v>Error Logging Modules and Handlers (ELMAH)</v>
      </c>
      <c r="B803" s="4" t="s">
        <v>5184</v>
      </c>
      <c r="C803" s="8" t="s">
        <v>5</v>
      </c>
      <c r="D803" s="11" t="s">
        <v>5185</v>
      </c>
    </row>
    <row r="804" spans="1:4" ht="30">
      <c r="A804" s="5" t="str">
        <f>HYPERLINK("https://www.oit.va.gov/Services/TRM/ToolPage.aspx?tid=11787^","QC-Track")</f>
        <v>QC-Track</v>
      </c>
      <c r="B804" s="4" t="s">
        <v>20</v>
      </c>
      <c r="C804" s="8" t="s">
        <v>5</v>
      </c>
      <c r="D804" s="11" t="s">
        <v>21</v>
      </c>
    </row>
    <row r="805" spans="1:4" ht="30">
      <c r="A805" s="5" t="str">
        <f>HYPERLINK("https://www.oit.va.gov/Services/TRM/ToolPage.aspx?tid=8039^","Visual Staff Scheduler (VSS)")</f>
        <v>Visual Staff Scheduler (VSS)</v>
      </c>
      <c r="B805" s="4" t="s">
        <v>5580</v>
      </c>
      <c r="C805" s="8" t="s">
        <v>5</v>
      </c>
      <c r="D805" s="11" t="s">
        <v>2789</v>
      </c>
    </row>
    <row r="806" spans="1:4" ht="30">
      <c r="A806" s="5" t="str">
        <f>HYPERLINK("https://www.oit.va.gov/Services/TRM/ToolPage.aspx?tid=8030^","ScheduleAnywhere")</f>
        <v>ScheduleAnywhere</v>
      </c>
      <c r="B806" s="4" t="s">
        <v>5580</v>
      </c>
      <c r="C806" s="8" t="s">
        <v>5</v>
      </c>
      <c r="D806" s="11" t="s">
        <v>7105</v>
      </c>
    </row>
    <row r="807" spans="1:4" ht="30">
      <c r="A807" s="5" t="str">
        <f>HYPERLINK("https://www.oit.va.gov/Services/TRM/ToolPage.aspx?tid=9929^","Staff Files")</f>
        <v>Staff Files</v>
      </c>
      <c r="B807" s="4" t="s">
        <v>5580</v>
      </c>
      <c r="C807" s="8" t="s">
        <v>5</v>
      </c>
      <c r="D807" s="11" t="s">
        <v>8720</v>
      </c>
    </row>
    <row r="808" spans="1:4" ht="30">
      <c r="A808" s="5" t="str">
        <f>HYPERLINK("https://www.oit.va.gov/Services/TRM/ToolPage.aspx?tid=11658^","ATLAS.ti")</f>
        <v>ATLAS.ti</v>
      </c>
      <c r="B808" s="4" t="s">
        <v>9</v>
      </c>
      <c r="C808" s="8" t="s">
        <v>5</v>
      </c>
      <c r="D808" s="11" t="s">
        <v>10</v>
      </c>
    </row>
    <row r="809" spans="1:4" ht="30">
      <c r="A809" s="5" t="str">
        <f>HYPERLINK("https://www.oit.va.gov/Services/TRM/ToolPage.aspx?tid=16830^","AtlasIED Amplified Sound Masking System")</f>
        <v>AtlasIED Amplified Sound Masking System</v>
      </c>
      <c r="B809" s="4" t="s">
        <v>3788</v>
      </c>
      <c r="C809" s="8" t="s">
        <v>5</v>
      </c>
      <c r="D809" s="11" t="s">
        <v>772</v>
      </c>
    </row>
    <row r="810" spans="1:4" ht="30">
      <c r="A810" s="5" t="str">
        <f>HYPERLINK("https://www.oit.va.gov/Services/TRM/ToolPage.aspx?tid=6543^","JIRA")</f>
        <v>JIRA</v>
      </c>
      <c r="B810" s="4" t="s">
        <v>730</v>
      </c>
      <c r="C810" s="8" t="s">
        <v>5</v>
      </c>
      <c r="D810" s="11" t="s">
        <v>731</v>
      </c>
    </row>
    <row r="811" spans="1:4" ht="30">
      <c r="A811" s="5" t="str">
        <f>HYPERLINK("https://www.oit.va.gov/Services/TRM/ToolPage.aspx?tid=6414^","Confluence")</f>
        <v>Confluence</v>
      </c>
      <c r="B811" s="4" t="s">
        <v>730</v>
      </c>
      <c r="C811" s="8" t="s">
        <v>5</v>
      </c>
      <c r="D811" s="11" t="s">
        <v>1457</v>
      </c>
    </row>
    <row r="812" spans="1:4" ht="30">
      <c r="A812" s="5" t="str">
        <f>HYPERLINK("https://www.oit.va.gov/Services/TRM/ToolPage.aspx?tid=6539^","Crowd")</f>
        <v>Crowd</v>
      </c>
      <c r="B812" s="4" t="s">
        <v>730</v>
      </c>
      <c r="C812" s="8" t="s">
        <v>5</v>
      </c>
      <c r="D812" s="11" t="s">
        <v>1470</v>
      </c>
    </row>
    <row r="813" spans="1:4" ht="30">
      <c r="A813" s="5" t="str">
        <f>HYPERLINK("https://www.oit.va.gov/Services/TRM/ToolPage.aspx?tid=6540^","Crucible")</f>
        <v>Crucible</v>
      </c>
      <c r="B813" s="4" t="s">
        <v>730</v>
      </c>
      <c r="C813" s="8" t="s">
        <v>5</v>
      </c>
      <c r="D813" s="11" t="s">
        <v>1471</v>
      </c>
    </row>
    <row r="814" spans="1:4" ht="30">
      <c r="A814" s="5" t="str">
        <f>HYPERLINK("https://www.oit.va.gov/Services/TRM/ToolPage.aspx?tid=11444^","JIRA Service Management")</f>
        <v>JIRA Service Management</v>
      </c>
      <c r="B814" s="4" t="s">
        <v>730</v>
      </c>
      <c r="C814" s="8" t="s">
        <v>5</v>
      </c>
      <c r="D814" s="11" t="s">
        <v>2692</v>
      </c>
    </row>
    <row r="815" spans="1:4" ht="30">
      <c r="A815" s="5" t="str">
        <f>HYPERLINK("https://www.oit.va.gov/Services/TRM/ToolPage.aspx?tid=7014^","Bitbucket Server")</f>
        <v>Bitbucket Server</v>
      </c>
      <c r="B815" s="4" t="s">
        <v>730</v>
      </c>
      <c r="C815" s="8" t="s">
        <v>5</v>
      </c>
      <c r="D815" s="11" t="s">
        <v>3837</v>
      </c>
    </row>
    <row r="816" spans="1:4" ht="30">
      <c r="A816" s="5" t="str">
        <f>HYPERLINK("https://www.oit.va.gov/Services/TRM/ToolPage.aspx?tid=14269^","Jira Align")</f>
        <v>Jira Align</v>
      </c>
      <c r="B816" s="4" t="s">
        <v>730</v>
      </c>
      <c r="C816" s="8" t="s">
        <v>5</v>
      </c>
      <c r="D816" s="11" t="s">
        <v>4310</v>
      </c>
    </row>
    <row r="817" spans="1:4" ht="30">
      <c r="A817" s="5" t="str">
        <f>HYPERLINK("https://www.oit.va.gov/Services/TRM/ToolPage.aspx?tid=16091^","Planning Poker")</f>
        <v>Planning Poker</v>
      </c>
      <c r="B817" s="4" t="s">
        <v>730</v>
      </c>
      <c r="C817" s="8" t="s">
        <v>5</v>
      </c>
      <c r="D817" s="11" t="s">
        <v>4610</v>
      </c>
    </row>
    <row r="818" spans="1:4" ht="30">
      <c r="A818" s="5" t="str">
        <f>HYPERLINK("https://www.oit.va.gov/Services/TRM/ToolPage.aspx?tid=14150^","Trello")</f>
        <v>Trello</v>
      </c>
      <c r="B818" s="4" t="s">
        <v>730</v>
      </c>
      <c r="C818" s="8" t="s">
        <v>5</v>
      </c>
      <c r="D818" s="11" t="s">
        <v>4930</v>
      </c>
    </row>
    <row r="819" spans="1:4" ht="30">
      <c r="A819" s="5" t="str">
        <f>HYPERLINK("https://www.oit.va.gov/Services/TRM/ToolPage.aspx?tid=6541^","FishEye")</f>
        <v>FishEye</v>
      </c>
      <c r="B819" s="4" t="s">
        <v>730</v>
      </c>
      <c r="C819" s="8" t="s">
        <v>5</v>
      </c>
      <c r="D819" s="11" t="s">
        <v>3170</v>
      </c>
    </row>
    <row r="820" spans="1:4" ht="30">
      <c r="A820" s="5" t="str">
        <f>HYPERLINK("https://www.oit.va.gov/Services/TRM/ToolPage.aspx?tid=6542^","JIRA Agile")</f>
        <v>JIRA Agile</v>
      </c>
      <c r="B820" s="4" t="s">
        <v>730</v>
      </c>
      <c r="C820" s="8" t="s">
        <v>5</v>
      </c>
      <c r="D820" s="11" t="s">
        <v>5282</v>
      </c>
    </row>
    <row r="821" spans="1:4" ht="30">
      <c r="A821" s="5" t="str">
        <f>HYPERLINK("https://www.oit.va.gov/Services/TRM/ToolPage.aspx?tid=9459^","SourceTree")</f>
        <v>SourceTree</v>
      </c>
      <c r="B821" s="4" t="s">
        <v>730</v>
      </c>
      <c r="C821" s="8" t="s">
        <v>5</v>
      </c>
      <c r="D821" s="11" t="s">
        <v>2812</v>
      </c>
    </row>
    <row r="822" spans="1:4" ht="30">
      <c r="A822" s="5" t="str">
        <f>HYPERLINK("https://www.oit.va.gov/Services/TRM/ToolPage.aspx?tid=16884^","Loom")</f>
        <v>Loom</v>
      </c>
      <c r="B822" s="4" t="s">
        <v>730</v>
      </c>
      <c r="C822" s="8" t="s">
        <v>5</v>
      </c>
      <c r="D822" s="11" t="s">
        <v>6803</v>
      </c>
    </row>
    <row r="823" spans="1:4" ht="30">
      <c r="A823" s="5" t="str">
        <f>HYPERLINK("https://www.oit.va.gov/Services/TRM/ToolPage.aspx?tid=16082^","Service Level Agreement (SLA) Powerbox")</f>
        <v>Service Level Agreement (SLA) Powerbox</v>
      </c>
      <c r="B823" s="4" t="s">
        <v>730</v>
      </c>
      <c r="C823" s="8" t="s">
        <v>5</v>
      </c>
      <c r="D823" s="11" t="s">
        <v>8627</v>
      </c>
    </row>
    <row r="824" spans="1:4" ht="30">
      <c r="A824" s="5" t="str">
        <f>HYPERLINK("https://www.oit.va.gov/Services/TRM/ToolPage.aspx?tid=13765^","ATMOS Diagnostic World")</f>
        <v>ATMOS Diagnostic World</v>
      </c>
      <c r="B824" s="4" t="s">
        <v>1142</v>
      </c>
      <c r="C824" s="8" t="s">
        <v>5</v>
      </c>
      <c r="D824" s="11" t="s">
        <v>84</v>
      </c>
    </row>
    <row r="825" spans="1:4" ht="30">
      <c r="A825" s="5" t="str">
        <f>HYPERLINK("https://www.oit.va.gov/Services/TRM/ToolPage.aspx?tid=7721^","Atom")</f>
        <v>Atom</v>
      </c>
      <c r="B825" s="4" t="s">
        <v>8986</v>
      </c>
      <c r="C825" s="8" t="s">
        <v>5</v>
      </c>
      <c r="D825" s="11" t="s">
        <v>1915</v>
      </c>
    </row>
    <row r="826" spans="1:4" ht="30">
      <c r="A826" s="5" t="str">
        <f>HYPERLINK("https://www.oit.va.gov/Services/TRM/ToolPage.aspx?tid=13420^","VirtualDJ (VDJ)")</f>
        <v>VirtualDJ (VDJ)</v>
      </c>
      <c r="B826" s="4" t="s">
        <v>7293</v>
      </c>
      <c r="C826" s="8" t="s">
        <v>5</v>
      </c>
      <c r="D826" s="11" t="s">
        <v>7294</v>
      </c>
    </row>
    <row r="827" spans="1:4" ht="30">
      <c r="A827" s="5" t="str">
        <f>HYPERLINK("https://www.oit.va.gov/Services/TRM/ToolPage.aspx?tid=6264^","IntraWeb")</f>
        <v>IntraWeb</v>
      </c>
      <c r="B827" s="4" t="s">
        <v>6724</v>
      </c>
      <c r="C827" s="8" t="s">
        <v>5</v>
      </c>
      <c r="D827" s="11" t="s">
        <v>6725</v>
      </c>
    </row>
    <row r="828" spans="1:4" ht="30">
      <c r="A828" s="5" t="str">
        <f>HYPERLINK("https://www.oit.va.gov/Services/TRM/ToolPage.aspx?tid=9614^","Java Open Single Sign-On (JOSSO)")</f>
        <v>Java Open Single Sign-On (JOSSO)</v>
      </c>
      <c r="B828" s="4" t="s">
        <v>2267</v>
      </c>
      <c r="C828" s="8" t="s">
        <v>5</v>
      </c>
      <c r="D828" s="11" t="s">
        <v>2268</v>
      </c>
    </row>
    <row r="829" spans="1:4" ht="30">
      <c r="A829" s="5" t="str">
        <f>HYPERLINK("https://www.oit.va.gov/Services/TRM/ToolPage.aspx?tid=15879^","Attainia Browser")</f>
        <v>Attainia Browser</v>
      </c>
      <c r="B829" s="4" t="s">
        <v>5065</v>
      </c>
      <c r="C829" s="8" t="s">
        <v>5</v>
      </c>
      <c r="D829" s="11" t="s">
        <v>2658</v>
      </c>
    </row>
    <row r="830" spans="1:4" ht="30">
      <c r="A830" s="5" t="str">
        <f>HYPERLINK("https://www.oit.va.gov/Services/TRM/ToolPage.aspx?tid=13602^","Microsoft Connector for Teradata")</f>
        <v>Microsoft Connector for Teradata</v>
      </c>
      <c r="B830" s="4" t="s">
        <v>8260</v>
      </c>
      <c r="C830" s="8" t="s">
        <v>5</v>
      </c>
      <c r="D830" s="11" t="s">
        <v>5084</v>
      </c>
    </row>
    <row r="831" spans="1:4" ht="30">
      <c r="A831" s="5" t="str">
        <f>HYPERLINK("https://www.oit.va.gov/Services/TRM/ToolPage.aspx?tid=8715^","Tick@Lab")</f>
        <v>Tick@Lab</v>
      </c>
      <c r="B831" s="4" t="s">
        <v>6110</v>
      </c>
      <c r="C831" s="8" t="s">
        <v>5</v>
      </c>
      <c r="D831" s="11" t="s">
        <v>3476</v>
      </c>
    </row>
    <row r="832" spans="1:4" ht="30">
      <c r="A832" s="5" t="str">
        <f>HYPERLINK("https://www.oit.va.gov/Services/TRM/ToolPage.aspx?tid=5566^","Audacity")</f>
        <v>Audacity</v>
      </c>
      <c r="B832" s="4" t="s">
        <v>583</v>
      </c>
      <c r="C832" s="8" t="s">
        <v>5</v>
      </c>
      <c r="D832" s="11" t="s">
        <v>584</v>
      </c>
    </row>
    <row r="833" spans="1:4" ht="30">
      <c r="A833" s="5" t="str">
        <f>HYPERLINK("https://www.oit.va.gov/Services/TRM/ToolPage.aspx?tid=10662^","open-Source Media Interpretation by Large feature-space Extraction (openSMILE)")</f>
        <v>open-Source Media Interpretation by Large feature-space Extraction (openSMILE)</v>
      </c>
      <c r="B833" s="4" t="s">
        <v>2164</v>
      </c>
      <c r="C833" s="8" t="s">
        <v>5</v>
      </c>
      <c r="D833" s="11" t="s">
        <v>227</v>
      </c>
    </row>
    <row r="834" spans="1:4" ht="30">
      <c r="A834" s="5" t="str">
        <f>HYPERLINK("https://www.oit.va.gov/Services/TRM/ToolPage.aspx?tid=13659^","Audible Manager")</f>
        <v>Audible Manager</v>
      </c>
      <c r="B834" s="4" t="s">
        <v>7501</v>
      </c>
      <c r="C834" s="8" t="s">
        <v>5</v>
      </c>
      <c r="D834" s="11" t="s">
        <v>6914</v>
      </c>
    </row>
    <row r="835" spans="1:4" ht="30">
      <c r="A835" s="5" t="str">
        <f>HYPERLINK("https://www.oit.va.gov/Services/TRM/ToolPage.aspx?tid=13343^","APx500")</f>
        <v>APx500</v>
      </c>
      <c r="B835" s="4" t="s">
        <v>7471</v>
      </c>
      <c r="C835" s="8" t="s">
        <v>5</v>
      </c>
      <c r="D835" s="11" t="s">
        <v>6345</v>
      </c>
    </row>
    <row r="836" spans="1:4" ht="30">
      <c r="A836" s="5" t="str">
        <f>HYPERLINK("https://www.oit.va.gov/Services/TRM/ToolPage.aspx?tid=10804^","AudioBALANCE")</f>
        <v>AudioBALANCE</v>
      </c>
      <c r="B836" s="4" t="s">
        <v>5658</v>
      </c>
      <c r="C836" s="8" t="s">
        <v>5</v>
      </c>
      <c r="D836" s="11" t="s">
        <v>5659</v>
      </c>
    </row>
    <row r="837" spans="1:4" ht="30">
      <c r="A837" s="5" t="str">
        <f>HYPERLINK("https://www.oit.va.gov/Services/TRM/ToolPage.aspx?tid=10795^","AudioCANCEL")</f>
        <v>AudioCANCEL</v>
      </c>
      <c r="B837" s="4" t="s">
        <v>5658</v>
      </c>
      <c r="C837" s="8" t="s">
        <v>5</v>
      </c>
      <c r="D837" s="11" t="s">
        <v>5660</v>
      </c>
    </row>
    <row r="838" spans="1:4" ht="30">
      <c r="A838" s="5" t="str">
        <f>HYPERLINK("https://www.oit.va.gov/Services/TRM/ToolPage.aspx?tid=10148^","AudioCARE")</f>
        <v>AudioCARE</v>
      </c>
      <c r="B838" s="4" t="s">
        <v>5658</v>
      </c>
      <c r="C838" s="8" t="s">
        <v>5</v>
      </c>
      <c r="D838" s="11" t="s">
        <v>5661</v>
      </c>
    </row>
    <row r="839" spans="1:4" ht="30">
      <c r="A839" s="5" t="str">
        <f>HYPERLINK("https://www.oit.va.gov/Services/TRM/ToolPage.aspx?tid=10806^","AudioCOMMUNICATOR")</f>
        <v>AudioCOMMUNICATOR</v>
      </c>
      <c r="B839" s="4" t="s">
        <v>5658</v>
      </c>
      <c r="C839" s="8" t="s">
        <v>5</v>
      </c>
      <c r="D839" s="11" t="s">
        <v>5660</v>
      </c>
    </row>
    <row r="840" spans="1:4" ht="30">
      <c r="A840" s="5" t="str">
        <f>HYPERLINK("https://www.oit.va.gov/Services/TRM/ToolPage.aspx?tid=10811^","AudioCONTACT")</f>
        <v>AudioCONTACT</v>
      </c>
      <c r="B840" s="4" t="s">
        <v>5658</v>
      </c>
      <c r="C840" s="8" t="s">
        <v>5</v>
      </c>
      <c r="D840" s="11" t="s">
        <v>5662</v>
      </c>
    </row>
    <row r="841" spans="1:4" ht="30">
      <c r="A841" s="5" t="str">
        <f>HYPERLINK("https://www.oit.va.gov/Services/TRM/ToolPage.aspx?tid=10799^","AudioINQUIRY")</f>
        <v>AudioINQUIRY</v>
      </c>
      <c r="B841" s="4" t="s">
        <v>5658</v>
      </c>
      <c r="C841" s="8" t="s">
        <v>5</v>
      </c>
      <c r="D841" s="11" t="s">
        <v>1522</v>
      </c>
    </row>
    <row r="842" spans="1:4" ht="30">
      <c r="A842" s="5" t="str">
        <f>HYPERLINK("https://www.oit.va.gov/Services/TRM/ToolPage.aspx?tid=10803^","AudioNOTES")</f>
        <v>AudioNOTES</v>
      </c>
      <c r="B842" s="4" t="s">
        <v>5658</v>
      </c>
      <c r="C842" s="8" t="s">
        <v>5</v>
      </c>
      <c r="D842" s="11" t="s">
        <v>5663</v>
      </c>
    </row>
    <row r="843" spans="1:4" ht="30">
      <c r="A843" s="5" t="str">
        <f>HYPERLINK("https://www.oit.va.gov/Services/TRM/ToolPage.aspx?tid=14339^","AudioPREFILL")</f>
        <v>AudioPREFILL</v>
      </c>
      <c r="B843" s="4" t="s">
        <v>5658</v>
      </c>
      <c r="C843" s="8" t="s">
        <v>5</v>
      </c>
      <c r="D843" s="11" t="s">
        <v>5659</v>
      </c>
    </row>
    <row r="844" spans="1:4" ht="30">
      <c r="A844" s="5" t="str">
        <f>HYPERLINK("https://www.oit.va.gov/Services/TRM/ToolPage.aspx?tid=10802^","AudioRECALL")</f>
        <v>AudioRECALL</v>
      </c>
      <c r="B844" s="4" t="s">
        <v>5658</v>
      </c>
      <c r="C844" s="8" t="s">
        <v>5</v>
      </c>
      <c r="D844" s="11" t="s">
        <v>5663</v>
      </c>
    </row>
    <row r="845" spans="1:4" ht="30">
      <c r="A845" s="5" t="str">
        <f>HYPERLINK("https://www.oit.va.gov/Services/TRM/ToolPage.aspx?tid=10801^","AudioRecallReminder")</f>
        <v>AudioRecallReminder</v>
      </c>
      <c r="B845" s="4" t="s">
        <v>5658</v>
      </c>
      <c r="C845" s="8" t="s">
        <v>5</v>
      </c>
      <c r="D845" s="11" t="s">
        <v>5662</v>
      </c>
    </row>
    <row r="846" spans="1:4" ht="30">
      <c r="A846" s="5" t="str">
        <f>HYPERLINK("https://www.oit.va.gov/Services/TRM/ToolPage.aspx?tid=7928^","AudioRefill")</f>
        <v>AudioRefill</v>
      </c>
      <c r="B846" s="4" t="s">
        <v>5658</v>
      </c>
      <c r="C846" s="8" t="s">
        <v>5</v>
      </c>
      <c r="D846" s="11" t="s">
        <v>2856</v>
      </c>
    </row>
    <row r="847" spans="1:4" ht="30">
      <c r="A847" s="5" t="str">
        <f>HYPERLINK("https://www.oit.va.gov/Services/TRM/ToolPage.aspx?tid=10793^","AudioREMINDER")</f>
        <v>AudioREMINDER</v>
      </c>
      <c r="B847" s="4" t="s">
        <v>5658</v>
      </c>
      <c r="C847" s="8" t="s">
        <v>5</v>
      </c>
      <c r="D847" s="11" t="s">
        <v>5660</v>
      </c>
    </row>
    <row r="848" spans="1:4" ht="30">
      <c r="A848" s="5" t="str">
        <f>HYPERLINK("https://www.oit.va.gov/Services/TRM/ToolPage.aspx?tid=10800^","AudioRENEWAL")</f>
        <v>AudioRENEWAL</v>
      </c>
      <c r="B848" s="4" t="s">
        <v>5658</v>
      </c>
      <c r="C848" s="8" t="s">
        <v>5</v>
      </c>
      <c r="D848" s="11" t="s">
        <v>5664</v>
      </c>
    </row>
    <row r="849" spans="1:4" ht="30">
      <c r="A849" s="5" t="str">
        <f>HYPERLINK("https://www.oit.va.gov/Services/TRM/ToolPage.aspx?tid=10805^","AudioRxInfo")</f>
        <v>AudioRxInfo</v>
      </c>
      <c r="B849" s="4" t="s">
        <v>5658</v>
      </c>
      <c r="C849" s="8" t="s">
        <v>5</v>
      </c>
      <c r="D849" s="11" t="s">
        <v>5665</v>
      </c>
    </row>
    <row r="850" spans="1:4" ht="30">
      <c r="A850" s="5" t="str">
        <f>HYPERLINK("https://www.oit.va.gov/Services/TRM/ToolPage.aspx?tid=11772^","AudioRxReady")</f>
        <v>AudioRxReady</v>
      </c>
      <c r="B850" s="4" t="s">
        <v>5658</v>
      </c>
      <c r="C850" s="8" t="s">
        <v>5</v>
      </c>
      <c r="D850" s="11" t="s">
        <v>5665</v>
      </c>
    </row>
    <row r="851" spans="1:4" ht="30">
      <c r="A851" s="5" t="str">
        <f>HYPERLINK("https://www.oit.va.gov/Services/TRM/ToolPage.aspx?tid=10810^","AudioVERIFY")</f>
        <v>AudioVERIFY</v>
      </c>
      <c r="B851" s="4" t="s">
        <v>5658</v>
      </c>
      <c r="C851" s="8" t="s">
        <v>5</v>
      </c>
      <c r="D851" s="11" t="s">
        <v>5662</v>
      </c>
    </row>
    <row r="852" spans="1:4" ht="30">
      <c r="A852" s="5" t="str">
        <f>HYPERLINK("https://www.oit.va.gov/Services/TRM/ToolPage.aspx?tid=10797^","E-CANCEL")</f>
        <v>E-CANCEL</v>
      </c>
      <c r="B852" s="4" t="s">
        <v>5658</v>
      </c>
      <c r="C852" s="8" t="s">
        <v>5</v>
      </c>
      <c r="D852" s="11" t="s">
        <v>5783</v>
      </c>
    </row>
    <row r="853" spans="1:4" ht="30">
      <c r="A853" s="5" t="str">
        <f>HYPERLINK("https://www.oit.va.gov/Services/TRM/ToolPage.aspx?tid=10796^","E-REMINDER")</f>
        <v>E-REMINDER</v>
      </c>
      <c r="B853" s="4" t="s">
        <v>5658</v>
      </c>
      <c r="C853" s="8" t="s">
        <v>5</v>
      </c>
      <c r="D853" s="11" t="s">
        <v>3200</v>
      </c>
    </row>
    <row r="854" spans="1:4" ht="30">
      <c r="A854" s="5" t="str">
        <f>HYPERLINK("https://www.oit.va.gov/Services/TRM/ToolPage.aspx?tid=10798^","TM-CANCEL")</f>
        <v>TM-CANCEL</v>
      </c>
      <c r="B854" s="4" t="s">
        <v>5658</v>
      </c>
      <c r="C854" s="8" t="s">
        <v>5</v>
      </c>
      <c r="D854" s="11" t="s">
        <v>6113</v>
      </c>
    </row>
    <row r="855" spans="1:4" ht="30">
      <c r="A855" s="5" t="str">
        <f>HYPERLINK("https://www.oit.va.gov/Services/TRM/ToolPage.aspx?tid=10809^","TM-COMMUNICATOR")</f>
        <v>TM-COMMUNICATOR</v>
      </c>
      <c r="B855" s="4" t="s">
        <v>5658</v>
      </c>
      <c r="C855" s="8" t="s">
        <v>5</v>
      </c>
      <c r="D855" s="11" t="s">
        <v>1093</v>
      </c>
    </row>
    <row r="856" spans="1:4" ht="30">
      <c r="A856" s="5" t="str">
        <f>HYPERLINK("https://www.oit.va.gov/Services/TRM/ToolPage.aspx?tid=10794^","TM-REMINDER")</f>
        <v>TM-REMINDER</v>
      </c>
      <c r="B856" s="4" t="s">
        <v>5658</v>
      </c>
      <c r="C856" s="8" t="s">
        <v>5</v>
      </c>
      <c r="D856" s="11" t="s">
        <v>1093</v>
      </c>
    </row>
    <row r="857" spans="1:4" ht="30">
      <c r="A857" s="5" t="str">
        <f>HYPERLINK("https://www.oit.va.gov/Services/TRM/ToolPage.aspx?tid=16288^","Syslog Viewer (Monkey)")</f>
        <v>Syslog Viewer (Monkey)</v>
      </c>
      <c r="B857" s="4" t="s">
        <v>4879</v>
      </c>
      <c r="C857" s="8" t="s">
        <v>5</v>
      </c>
      <c r="D857" s="11" t="s">
        <v>4083</v>
      </c>
    </row>
    <row r="858" spans="1:4" ht="30">
      <c r="A858" s="5" t="str">
        <f>HYPERLINK("https://www.oit.va.gov/Services/TRM/ToolPage.aspx?tid=16449^","INI Viewer/Editor")</f>
        <v>INI Viewer/Editor</v>
      </c>
      <c r="B858" s="4" t="s">
        <v>4879</v>
      </c>
      <c r="C858" s="8" t="s">
        <v>5</v>
      </c>
      <c r="D858" s="11" t="s">
        <v>1003</v>
      </c>
    </row>
    <row r="859" spans="1:4" ht="30">
      <c r="A859" s="5" t="str">
        <f>HYPERLINK("https://www.oit.va.gov/Services/TRM/ToolPage.aspx?tid=13560^","Audiograbber")</f>
        <v>Audiograbber</v>
      </c>
      <c r="B859" s="4" t="s">
        <v>7502</v>
      </c>
      <c r="C859" s="8" t="s">
        <v>5</v>
      </c>
      <c r="D859" s="11" t="s">
        <v>3367</v>
      </c>
    </row>
    <row r="860" spans="1:4" ht="30">
      <c r="A860" s="5" t="str">
        <f>HYPERLINK("https://www.oit.va.gov/Services/TRM/ToolPage.aspx?tid=9930^","Audioscan NOAH Module")</f>
        <v>Audioscan NOAH Module</v>
      </c>
      <c r="B860" s="4" t="s">
        <v>3789</v>
      </c>
      <c r="C860" s="8" t="s">
        <v>5</v>
      </c>
      <c r="D860" s="11" t="s">
        <v>3790</v>
      </c>
    </row>
    <row r="861" spans="1:4" ht="30">
      <c r="A861" s="5" t="str">
        <f>HYPERLINK("https://www.oit.va.gov/Services/TRM/ToolPage.aspx?tid=11431^","Minimum Speech Test Battery (MSTB)")</f>
        <v>Minimum Speech Test Battery (MSTB)</v>
      </c>
      <c r="B861" s="4" t="s">
        <v>6877</v>
      </c>
      <c r="C861" s="8" t="s">
        <v>5</v>
      </c>
      <c r="D861" s="11" t="s">
        <v>2827</v>
      </c>
    </row>
    <row r="862" spans="1:4" ht="30">
      <c r="A862" s="5" t="str">
        <f>HYPERLINK("https://www.oit.va.gov/Services/TRM/ToolPage.aspx?tid=13895^","AudBase")</f>
        <v>AudBase</v>
      </c>
      <c r="B862" s="4" t="s">
        <v>173</v>
      </c>
      <c r="C862" s="8" t="s">
        <v>5</v>
      </c>
      <c r="D862" s="11" t="s">
        <v>174</v>
      </c>
    </row>
    <row r="863" spans="1:4" ht="30">
      <c r="A863" s="5" t="str">
        <f>HYPERLINK("https://www.oit.va.gov/Services/TRM/ToolPage.aspx?tid=7501^","Aurea Compliance Manager")</f>
        <v>Aurea Compliance Manager</v>
      </c>
      <c r="B863" s="4" t="s">
        <v>6299</v>
      </c>
      <c r="C863" s="8" t="s">
        <v>5</v>
      </c>
      <c r="D863" s="11" t="s">
        <v>6300</v>
      </c>
    </row>
    <row r="864" spans="1:4" ht="30">
      <c r="A864" s="5" t="str">
        <f>HYPERLINK("https://www.oit.va.gov/Services/TRM/ToolPage.aspx?tid=5567^","Auslogics Disk Defrag")</f>
        <v>Auslogics Disk Defrag</v>
      </c>
      <c r="B864" s="4" t="s">
        <v>7505</v>
      </c>
      <c r="C864" s="8" t="s">
        <v>5</v>
      </c>
      <c r="D864" s="11" t="s">
        <v>7506</v>
      </c>
    </row>
    <row r="865" spans="1:4" ht="30">
      <c r="A865" s="5" t="str">
        <f>HYPERLINK("https://www.oit.va.gov/Services/TRM/ToolPage.aspx?tid=15243^","Auslogics Registry Cleaner")</f>
        <v>Auslogics Registry Cleaner</v>
      </c>
      <c r="B865" s="4" t="s">
        <v>7507</v>
      </c>
      <c r="C865" s="8" t="s">
        <v>5</v>
      </c>
      <c r="D865" s="11" t="s">
        <v>7508</v>
      </c>
    </row>
    <row r="866" spans="1:4" ht="30">
      <c r="A866" s="5" t="str">
        <f>HYPERLINK("https://www.oit.va.gov/Services/TRM/ToolPage.aspx?tid=11544^","Auth0")</f>
        <v>Auth0</v>
      </c>
      <c r="B866" s="4" t="s">
        <v>6301</v>
      </c>
      <c r="C866" s="8" t="s">
        <v>5</v>
      </c>
      <c r="D866" s="11" t="s">
        <v>6302</v>
      </c>
    </row>
    <row r="867" spans="1:4" ht="30">
      <c r="A867" s="5" t="str">
        <f>HYPERLINK("https://www.oit.va.gov/Services/TRM/ToolPage.aspx?tid=8011^","Passport")</f>
        <v>Passport</v>
      </c>
      <c r="B867" s="4" t="s">
        <v>6301</v>
      </c>
      <c r="C867" s="8" t="s">
        <v>5</v>
      </c>
      <c r="D867" s="11" t="s">
        <v>845</v>
      </c>
    </row>
    <row r="868" spans="1:4" ht="30">
      <c r="A868" s="5" t="str">
        <f>HYPERLINK("https://www.oit.va.gov/Services/TRM/ToolPage.aspx?tid=13012^","Java JavaScript Object Notation (JSON) Web Token (JWT)")</f>
        <v>Java JavaScript Object Notation (JSON) Web Token (JWT)</v>
      </c>
      <c r="B868" s="4" t="s">
        <v>1020</v>
      </c>
      <c r="C868" s="8" t="s">
        <v>5</v>
      </c>
      <c r="D868" s="11" t="s">
        <v>1021</v>
      </c>
    </row>
    <row r="869" spans="1:4" ht="30">
      <c r="A869" s="5" t="str">
        <f>HYPERLINK("https://www.oit.va.gov/Services/TRM/ToolPage.aspx?tid=8584^","Autocene")</f>
        <v>Autocene</v>
      </c>
      <c r="B869" s="4" t="s">
        <v>3155</v>
      </c>
      <c r="C869" s="8" t="s">
        <v>5</v>
      </c>
      <c r="D869" s="11" t="s">
        <v>3156</v>
      </c>
    </row>
    <row r="870" spans="1:4" ht="30">
      <c r="A870" s="5" t="str">
        <f>HYPERLINK("https://www.oit.va.gov/Services/TRM/ToolPage.aspx?tid=7713^","Navisworks Simulate")</f>
        <v>Navisworks Simulate</v>
      </c>
      <c r="B870" s="4" t="s">
        <v>44</v>
      </c>
      <c r="C870" s="8" t="s">
        <v>5</v>
      </c>
      <c r="D870" s="11" t="s">
        <v>45</v>
      </c>
    </row>
    <row r="871" spans="1:4" ht="30">
      <c r="A871" s="5" t="str">
        <f>HYPERLINK("https://www.oit.va.gov/Services/TRM/ToolPage.aspx?tid=5568^","AutoCAD")</f>
        <v>AutoCAD</v>
      </c>
      <c r="B871" s="4" t="s">
        <v>44</v>
      </c>
      <c r="C871" s="8" t="s">
        <v>5</v>
      </c>
      <c r="D871" s="11" t="s">
        <v>82</v>
      </c>
    </row>
    <row r="872" spans="1:4" ht="30">
      <c r="A872" s="5" t="str">
        <f>HYPERLINK("https://www.oit.va.gov/Services/TRM/ToolPage.aspx?tid=7711^","AutoCAD Map 3D")</f>
        <v>AutoCAD Map 3D</v>
      </c>
      <c r="B872" s="4" t="s">
        <v>44</v>
      </c>
      <c r="C872" s="8" t="s">
        <v>5</v>
      </c>
      <c r="D872" s="11" t="s">
        <v>175</v>
      </c>
    </row>
    <row r="873" spans="1:4" ht="30">
      <c r="A873" s="5" t="str">
        <f>HYPERLINK("https://www.oit.va.gov/Services/TRM/ToolPage.aspx?tid=6754^","AutoDesk 3ds Max")</f>
        <v>AutoDesk 3ds Max</v>
      </c>
      <c r="B873" s="4" t="s">
        <v>44</v>
      </c>
      <c r="C873" s="8" t="s">
        <v>5</v>
      </c>
      <c r="D873" s="11" t="s">
        <v>176</v>
      </c>
    </row>
    <row r="874" spans="1:4" ht="30">
      <c r="A874" s="5" t="str">
        <f>HYPERLINK("https://www.oit.va.gov/Services/TRM/ToolPage.aspx?tid=7710^","Autodesk Civil 3D")</f>
        <v>Autodesk Civil 3D</v>
      </c>
      <c r="B874" s="4" t="s">
        <v>44</v>
      </c>
      <c r="C874" s="8" t="s">
        <v>5</v>
      </c>
      <c r="D874" s="11" t="s">
        <v>177</v>
      </c>
    </row>
    <row r="875" spans="1:4" ht="30">
      <c r="A875" s="5" t="str">
        <f>HYPERLINK("https://www.oit.va.gov/Services/TRM/ToolPage.aspx?tid=5573^","Autodesk Inventor")</f>
        <v>Autodesk Inventor</v>
      </c>
      <c r="B875" s="4" t="s">
        <v>44</v>
      </c>
      <c r="C875" s="8" t="s">
        <v>5</v>
      </c>
      <c r="D875" s="11" t="s">
        <v>178</v>
      </c>
    </row>
    <row r="876" spans="1:4" ht="30">
      <c r="A876" s="5" t="str">
        <f>HYPERLINK("https://www.oit.va.gov/Services/TRM/ToolPage.aspx?tid=7716^","Autodesk Mudbox")</f>
        <v>Autodesk Mudbox</v>
      </c>
      <c r="B876" s="4" t="s">
        <v>44</v>
      </c>
      <c r="C876" s="8" t="s">
        <v>5</v>
      </c>
      <c r="D876" s="11" t="s">
        <v>179</v>
      </c>
    </row>
    <row r="877" spans="1:4" ht="30">
      <c r="A877" s="5" t="str">
        <f>HYPERLINK("https://www.oit.va.gov/Services/TRM/ToolPage.aspx?tid=16801^","Autodesk Navisworks Exporters")</f>
        <v>Autodesk Navisworks Exporters</v>
      </c>
      <c r="B877" s="4" t="s">
        <v>44</v>
      </c>
      <c r="C877" s="8" t="s">
        <v>5</v>
      </c>
      <c r="D877" s="11" t="s">
        <v>180</v>
      </c>
    </row>
    <row r="878" spans="1:4" ht="30">
      <c r="A878" s="5" t="str">
        <f>HYPERLINK("https://www.oit.va.gov/Services/TRM/ToolPage.aspx?tid=5574^","Autodesk Revit")</f>
        <v>Autodesk Revit</v>
      </c>
      <c r="B878" s="4" t="s">
        <v>44</v>
      </c>
      <c r="C878" s="8" t="s">
        <v>5</v>
      </c>
      <c r="D878" s="11" t="s">
        <v>181</v>
      </c>
    </row>
    <row r="879" spans="1:4" ht="30">
      <c r="A879" s="5" t="str">
        <f>HYPERLINK("https://www.oit.va.gov/Services/TRM/ToolPage.aspx?tid=11567^","Autodesk Fusion 360")</f>
        <v>Autodesk Fusion 360</v>
      </c>
      <c r="B879" s="4" t="s">
        <v>44</v>
      </c>
      <c r="C879" s="8" t="s">
        <v>5</v>
      </c>
      <c r="D879" s="11" t="s">
        <v>374</v>
      </c>
    </row>
    <row r="880" spans="1:4" ht="30">
      <c r="A880" s="5" t="str">
        <f>HYPERLINK("https://www.oit.va.gov/Services/TRM/ToolPage.aspx?tid=11699^","Dynamo")</f>
        <v>Dynamo</v>
      </c>
      <c r="B880" s="4" t="s">
        <v>44</v>
      </c>
      <c r="C880" s="8" t="s">
        <v>5</v>
      </c>
      <c r="D880" s="11" t="s">
        <v>393</v>
      </c>
    </row>
    <row r="881" spans="1:4" ht="30">
      <c r="A881" s="5" t="str">
        <f>HYPERLINK("https://www.oit.va.gov/Services/TRM/ToolPage.aspx?tid=10361^","A360 Desktop")</f>
        <v>A360 Desktop</v>
      </c>
      <c r="B881" s="4" t="s">
        <v>44</v>
      </c>
      <c r="C881" s="8" t="s">
        <v>5</v>
      </c>
      <c r="D881" s="11" t="s">
        <v>492</v>
      </c>
    </row>
    <row r="882" spans="1:4" ht="30">
      <c r="A882" s="5" t="str">
        <f>HYPERLINK("https://www.oit.va.gov/Services/TRM/ToolPage.aspx?tid=15936^","Autodesk ReCap Photo")</f>
        <v>Autodesk ReCap Photo</v>
      </c>
      <c r="B882" s="4" t="s">
        <v>44</v>
      </c>
      <c r="C882" s="8" t="s">
        <v>5</v>
      </c>
      <c r="D882" s="11" t="s">
        <v>496</v>
      </c>
    </row>
    <row r="883" spans="1:4" ht="30">
      <c r="A883" s="5" t="str">
        <f>HYPERLINK("https://www.oit.va.gov/Services/TRM/ToolPage.aspx?tid=5569^","AutoCAD Architecture")</f>
        <v>AutoCAD Architecture</v>
      </c>
      <c r="B883" s="4" t="s">
        <v>44</v>
      </c>
      <c r="C883" s="8" t="s">
        <v>5</v>
      </c>
      <c r="D883" s="11" t="s">
        <v>929</v>
      </c>
    </row>
    <row r="884" spans="1:4" ht="30">
      <c r="A884" s="5" t="str">
        <f>HYPERLINK("https://www.oit.va.gov/Services/TRM/ToolPage.aspx?tid=6457^","AutoCAD LT")</f>
        <v>AutoCAD LT</v>
      </c>
      <c r="B884" s="4" t="s">
        <v>44</v>
      </c>
      <c r="C884" s="8" t="s">
        <v>5</v>
      </c>
      <c r="D884" s="11" t="s">
        <v>930</v>
      </c>
    </row>
    <row r="885" spans="1:4" ht="30">
      <c r="A885" s="5" t="str">
        <f>HYPERLINK("https://www.oit.va.gov/Services/TRM/ToolPage.aspx?tid=5570^","AutoCAD MEP")</f>
        <v>AutoCAD MEP</v>
      </c>
      <c r="B885" s="4" t="s">
        <v>44</v>
      </c>
      <c r="C885" s="8" t="s">
        <v>5</v>
      </c>
      <c r="D885" s="11" t="s">
        <v>177</v>
      </c>
    </row>
    <row r="886" spans="1:4" ht="30">
      <c r="A886" s="5" t="str">
        <f>HYPERLINK("https://www.oit.va.gov/Services/TRM/ToolPage.aspx?tid=7714^","AutoCAD Raster Design")</f>
        <v>AutoCAD Raster Design</v>
      </c>
      <c r="B886" s="4" t="s">
        <v>44</v>
      </c>
      <c r="C886" s="8" t="s">
        <v>5</v>
      </c>
      <c r="D886" s="11" t="s">
        <v>931</v>
      </c>
    </row>
    <row r="887" spans="1:4" ht="30">
      <c r="A887" s="5" t="str">
        <f>HYPERLINK("https://www.oit.va.gov/Services/TRM/ToolPage.aspx?tid=5572^","Autodesk Design Review")</f>
        <v>Autodesk Design Review</v>
      </c>
      <c r="B887" s="4" t="s">
        <v>44</v>
      </c>
      <c r="C887" s="8" t="s">
        <v>5</v>
      </c>
      <c r="D887" s="11" t="s">
        <v>932</v>
      </c>
    </row>
    <row r="888" spans="1:4" ht="30">
      <c r="A888" s="5" t="str">
        <f>HYPERLINK("https://www.oit.va.gov/Services/TRM/ToolPage.aspx?tid=7745^","Autodesk Infraworks")</f>
        <v>Autodesk Infraworks</v>
      </c>
      <c r="B888" s="4" t="s">
        <v>44</v>
      </c>
      <c r="C888" s="8" t="s">
        <v>5</v>
      </c>
      <c r="D888" s="11" t="s">
        <v>933</v>
      </c>
    </row>
    <row r="889" spans="1:4" ht="30">
      <c r="A889" s="5" t="str">
        <f>HYPERLINK("https://www.oit.va.gov/Services/TRM/ToolPage.aspx?tid=9734^","Autodesk Navisworks Freedom")</f>
        <v>Autodesk Navisworks Freedom</v>
      </c>
      <c r="B889" s="4" t="s">
        <v>44</v>
      </c>
      <c r="C889" s="8" t="s">
        <v>5</v>
      </c>
      <c r="D889" s="11" t="s">
        <v>934</v>
      </c>
    </row>
    <row r="890" spans="1:4" ht="30">
      <c r="A890" s="5" t="str">
        <f>HYPERLINK("https://www.oit.va.gov/Services/TRM/ToolPage.aspx?tid=11237^","Autodesk Navisworks Manage")</f>
        <v>Autodesk Navisworks Manage</v>
      </c>
      <c r="B890" s="4" t="s">
        <v>44</v>
      </c>
      <c r="C890" s="8" t="s">
        <v>5</v>
      </c>
      <c r="D890" s="11" t="s">
        <v>935</v>
      </c>
    </row>
    <row r="891" spans="1:4" ht="30">
      <c r="A891" s="5" t="str">
        <f>HYPERLINK("https://www.oit.va.gov/Services/TRM/ToolPage.aspx?tid=7748^","Autodesk Vault")</f>
        <v>Autodesk Vault</v>
      </c>
      <c r="B891" s="4" t="s">
        <v>44</v>
      </c>
      <c r="C891" s="8" t="s">
        <v>5</v>
      </c>
      <c r="D891" s="11" t="s">
        <v>936</v>
      </c>
    </row>
    <row r="892" spans="1:4" ht="30">
      <c r="A892" s="5" t="str">
        <f>HYPERLINK("https://www.oit.va.gov/Services/TRM/ToolPage.aspx?tid=13061^","Autodesk Vehicle Tracking")</f>
        <v>Autodesk Vehicle Tracking</v>
      </c>
      <c r="B892" s="4" t="s">
        <v>44</v>
      </c>
      <c r="C892" s="8" t="s">
        <v>5</v>
      </c>
      <c r="D892" s="11" t="s">
        <v>937</v>
      </c>
    </row>
    <row r="893" spans="1:4" ht="30">
      <c r="A893" s="5" t="str">
        <f>HYPERLINK("https://www.oit.va.gov/Services/TRM/ToolPage.aspx?tid=15164^","ElumTools")</f>
        <v>ElumTools</v>
      </c>
      <c r="B893" s="4" t="s">
        <v>44</v>
      </c>
      <c r="C893" s="8" t="s">
        <v>5</v>
      </c>
      <c r="D893" s="11" t="s">
        <v>985</v>
      </c>
    </row>
    <row r="894" spans="1:4" ht="30">
      <c r="A894" s="5" t="str">
        <f>HYPERLINK("https://www.oit.va.gov/Services/TRM/ToolPage.aspx?tid=13509^","Autodesk 123D")</f>
        <v>Autodesk 123D</v>
      </c>
      <c r="B894" s="4" t="s">
        <v>44</v>
      </c>
      <c r="C894" s="8" t="s">
        <v>5</v>
      </c>
      <c r="D894" s="11" t="s">
        <v>1145</v>
      </c>
    </row>
    <row r="895" spans="1:4" ht="30">
      <c r="A895" s="5" t="str">
        <f>HYPERLINK("https://www.oit.va.gov/Services/TRM/ToolPage.aspx?tid=11579^","MeshMixer")</f>
        <v>MeshMixer</v>
      </c>
      <c r="B895" s="4" t="s">
        <v>44</v>
      </c>
      <c r="C895" s="8" t="s">
        <v>5</v>
      </c>
      <c r="D895" s="11" t="s">
        <v>487</v>
      </c>
    </row>
    <row r="896" spans="1:4" ht="30">
      <c r="A896" s="5" t="str">
        <f>HYPERLINK("https://www.oit.va.gov/Services/TRM/ToolPage.aspx?tid=11610^","OrthoModel Pro")</f>
        <v>OrthoModel Pro</v>
      </c>
      <c r="B896" s="4" t="s">
        <v>44</v>
      </c>
      <c r="C896" s="8" t="s">
        <v>5</v>
      </c>
      <c r="D896" s="11" t="s">
        <v>1192</v>
      </c>
    </row>
    <row r="897" spans="1:4" ht="30">
      <c r="A897" s="5" t="str">
        <f>HYPERLINK("https://www.oit.va.gov/Services/TRM/ToolPage.aspx?tid=13321^","Autodesk PowerMill")</f>
        <v>Autodesk PowerMill</v>
      </c>
      <c r="B897" s="4" t="s">
        <v>44</v>
      </c>
      <c r="C897" s="8" t="s">
        <v>5</v>
      </c>
      <c r="D897" s="11" t="s">
        <v>1323</v>
      </c>
    </row>
    <row r="898" spans="1:4" ht="30">
      <c r="A898" s="5" t="str">
        <f>HYPERLINK("https://www.oit.va.gov/Services/TRM/ToolPage.aspx?tid=7746^","Autodesk Recap Pro")</f>
        <v>Autodesk Recap Pro</v>
      </c>
      <c r="B898" s="4" t="s">
        <v>44</v>
      </c>
      <c r="C898" s="8" t="s">
        <v>5</v>
      </c>
      <c r="D898" s="11" t="s">
        <v>1324</v>
      </c>
    </row>
    <row r="899" spans="1:4" ht="30">
      <c r="A899" s="5" t="str">
        <f>HYPERLINK("https://www.oit.va.gov/Services/TRM/ToolPage.aspx?tid=7741^","AutoCAD Electrical")</f>
        <v>AutoCAD Electrical</v>
      </c>
      <c r="B899" s="4" t="s">
        <v>44</v>
      </c>
      <c r="C899" s="8" t="s">
        <v>5</v>
      </c>
      <c r="D899" s="11" t="s">
        <v>2218</v>
      </c>
    </row>
    <row r="900" spans="1:4" ht="30">
      <c r="A900" s="5" t="str">
        <f>HYPERLINK("https://www.oit.va.gov/Services/TRM/ToolPage.aspx?tid=13746^","AutoCAD Print Studio")</f>
        <v>AutoCAD Print Studio</v>
      </c>
      <c r="B900" s="4" t="s">
        <v>44</v>
      </c>
      <c r="C900" s="8" t="s">
        <v>5</v>
      </c>
      <c r="D900" s="11" t="s">
        <v>2219</v>
      </c>
    </row>
    <row r="901" spans="1:4" ht="30">
      <c r="A901" s="5" t="str">
        <f>HYPERLINK("https://www.oit.va.gov/Services/TRM/ToolPage.aspx?tid=7744^","Autodesk 3ds Max Design")</f>
        <v>Autodesk 3ds Max Design</v>
      </c>
      <c r="B901" s="4" t="s">
        <v>44</v>
      </c>
      <c r="C901" s="8" t="s">
        <v>5</v>
      </c>
      <c r="D901" s="11" t="s">
        <v>2220</v>
      </c>
    </row>
    <row r="902" spans="1:4" ht="30">
      <c r="A902" s="5" t="str">
        <f>HYPERLINK("https://www.oit.va.gov/Services/TRM/ToolPage.aspx?tid=7715^","Autodesk Alias")</f>
        <v>Autodesk Alias</v>
      </c>
      <c r="B902" s="4" t="s">
        <v>44</v>
      </c>
      <c r="C902" s="8" t="s">
        <v>5</v>
      </c>
      <c r="D902" s="11" t="s">
        <v>2221</v>
      </c>
    </row>
    <row r="903" spans="1:4" ht="30">
      <c r="A903" s="5" t="str">
        <f>HYPERLINK("https://www.oit.va.gov/Services/TRM/ToolPage.aspx?tid=11681^","Autodesk Backburner")</f>
        <v>Autodesk Backburner</v>
      </c>
      <c r="B903" s="4" t="s">
        <v>44</v>
      </c>
      <c r="C903" s="8" t="s">
        <v>5</v>
      </c>
      <c r="D903" s="11" t="s">
        <v>2222</v>
      </c>
    </row>
    <row r="904" spans="1:4" ht="30">
      <c r="A904" s="5" t="str">
        <f>HYPERLINK("https://www.oit.va.gov/Services/TRM/ToolPage.aspx?tid=10518^","Autodesk Composite")</f>
        <v>Autodesk Composite</v>
      </c>
      <c r="B904" s="4" t="s">
        <v>44</v>
      </c>
      <c r="C904" s="8" t="s">
        <v>5</v>
      </c>
      <c r="D904" s="11" t="s">
        <v>2223</v>
      </c>
    </row>
    <row r="905" spans="1:4" ht="30">
      <c r="A905" s="5" t="str">
        <f>HYPERLINK("https://www.oit.va.gov/Services/TRM/ToolPage.aspx?tid=5571^","Autodesk DWG TrueView")</f>
        <v>Autodesk DWG TrueView</v>
      </c>
      <c r="B905" s="4" t="s">
        <v>44</v>
      </c>
      <c r="C905" s="8" t="s">
        <v>5</v>
      </c>
      <c r="D905" s="11" t="s">
        <v>2224</v>
      </c>
    </row>
    <row r="906" spans="1:4" ht="30">
      <c r="A906" s="5" t="str">
        <f>HYPERLINK("https://www.oit.va.gov/Services/TRM/ToolPage.aspx?tid=7747^","Autodesk Showcase")</f>
        <v>Autodesk Showcase</v>
      </c>
      <c r="B906" s="4" t="s">
        <v>44</v>
      </c>
      <c r="C906" s="8" t="s">
        <v>5</v>
      </c>
      <c r="D906" s="11" t="s">
        <v>2225</v>
      </c>
    </row>
    <row r="907" spans="1:4" ht="30">
      <c r="A907" s="5" t="str">
        <f>HYPERLINK("https://www.oit.va.gov/Services/TRM/ToolPage.aspx?tid=13428^","Buzzsaw")</f>
        <v>Buzzsaw</v>
      </c>
      <c r="B907" s="4" t="s">
        <v>44</v>
      </c>
      <c r="C907" s="8" t="s">
        <v>5</v>
      </c>
      <c r="D907" s="11" t="s">
        <v>2229</v>
      </c>
    </row>
    <row r="908" spans="1:4" ht="30">
      <c r="A908" s="5" t="str">
        <f>HYPERLINK("https://www.oit.va.gov/Services/TRM/ToolPage.aspx?tid=13517^","Computer-Aided Design (CAD) Manager Control Utility")</f>
        <v>Computer-Aided Design (CAD) Manager Control Utility</v>
      </c>
      <c r="B908" s="4" t="s">
        <v>44</v>
      </c>
      <c r="C908" s="8" t="s">
        <v>5</v>
      </c>
      <c r="D908" s="11" t="s">
        <v>2233</v>
      </c>
    </row>
    <row r="909" spans="1:4" ht="30">
      <c r="A909" s="5" t="str">
        <f>HYPERLINK("https://www.oit.va.gov/Services/TRM/ToolPage.aspx?tid=13585^","Maya")</f>
        <v>Maya</v>
      </c>
      <c r="B909" s="4" t="s">
        <v>44</v>
      </c>
      <c r="C909" s="8" t="s">
        <v>5</v>
      </c>
      <c r="D909" s="11" t="s">
        <v>2274</v>
      </c>
    </row>
    <row r="910" spans="1:4" ht="30">
      <c r="A910" s="5" t="str">
        <f>HYPERLINK("https://www.oit.va.gov/Services/TRM/ToolPage.aspx?tid=7712^","AutoCAD Mechanical")</f>
        <v>AutoCAD Mechanical</v>
      </c>
      <c r="B910" s="4" t="s">
        <v>44</v>
      </c>
      <c r="C910" s="8" t="s">
        <v>5</v>
      </c>
      <c r="D910" s="11" t="s">
        <v>2223</v>
      </c>
    </row>
    <row r="911" spans="1:4" ht="30">
      <c r="A911" s="5" t="str">
        <f>HYPERLINK("https://www.oit.va.gov/Services/TRM/ToolPage.aspx?tid=13531^","Autodesk Access")</f>
        <v>Autodesk Access</v>
      </c>
      <c r="B911" s="4" t="s">
        <v>44</v>
      </c>
      <c r="C911" s="8" t="s">
        <v>5</v>
      </c>
      <c r="D911" s="11" t="s">
        <v>3157</v>
      </c>
    </row>
    <row r="912" spans="1:4" ht="30">
      <c r="A912" s="5" t="str">
        <f>HYPERLINK("https://www.oit.va.gov/Services/TRM/ToolPage.aspx?tid=10519^","Autodesk Express Viewer")</f>
        <v>Autodesk Express Viewer</v>
      </c>
      <c r="B912" s="4" t="s">
        <v>44</v>
      </c>
      <c r="C912" s="8" t="s">
        <v>5</v>
      </c>
      <c r="D912" s="11" t="s">
        <v>3158</v>
      </c>
    </row>
    <row r="913" spans="1:4" ht="30">
      <c r="A913" s="5" t="str">
        <f>HYPERLINK("https://www.oit.va.gov/Services/TRM/ToolPage.aspx?tid=13563^","Autodesk Network License Manager")</f>
        <v>Autodesk Network License Manager</v>
      </c>
      <c r="B913" s="4" t="s">
        <v>44</v>
      </c>
      <c r="C913" s="8" t="s">
        <v>5</v>
      </c>
      <c r="D913" s="11" t="s">
        <v>3159</v>
      </c>
    </row>
    <row r="914" spans="1:4" ht="30">
      <c r="A914" s="5" t="str">
        <f>HYPERLINK("https://www.oit.va.gov/Services/TRM/ToolPage.aspx?tid=7717^","Autodesk Sketchbook")</f>
        <v>Autodesk Sketchbook</v>
      </c>
      <c r="B914" s="4" t="s">
        <v>44</v>
      </c>
      <c r="C914" s="8" t="s">
        <v>5</v>
      </c>
      <c r="D914" s="11" t="s">
        <v>3160</v>
      </c>
    </row>
    <row r="915" spans="1:4" ht="30">
      <c r="A915" s="5" t="str">
        <f>HYPERLINK("https://www.oit.va.gov/Services/TRM/ToolPage.aspx?tid=13354^","Autodesk Vault Office Client")</f>
        <v>Autodesk Vault Office Client</v>
      </c>
      <c r="B915" s="4" t="s">
        <v>44</v>
      </c>
      <c r="C915" s="8" t="s">
        <v>5</v>
      </c>
      <c r="D915" s="11" t="s">
        <v>3161</v>
      </c>
    </row>
    <row r="916" spans="1:4" ht="30">
      <c r="A916" s="5" t="str">
        <f>HYPERLINK("https://www.oit.va.gov/Services/TRM/ToolPage.aspx?tid=13508^","Infrastructure Design Suite")</f>
        <v>Infrastructure Design Suite</v>
      </c>
      <c r="B916" s="4" t="s">
        <v>44</v>
      </c>
      <c r="C916" s="8" t="s">
        <v>5</v>
      </c>
      <c r="D916" s="11" t="s">
        <v>3335</v>
      </c>
    </row>
    <row r="917" spans="1:4" ht="30">
      <c r="A917" s="5" t="str">
        <f>HYPERLINK("https://www.oit.va.gov/Services/TRM/ToolPage.aspx?tid=13305^","Matchmover")</f>
        <v>Matchmover</v>
      </c>
      <c r="B917" s="4" t="s">
        <v>44</v>
      </c>
      <c r="C917" s="8" t="s">
        <v>5</v>
      </c>
      <c r="D917" s="11" t="s">
        <v>3375</v>
      </c>
    </row>
    <row r="918" spans="1:4" ht="30">
      <c r="A918" s="5" t="str">
        <f>HYPERLINK("https://www.oit.va.gov/Services/TRM/ToolPage.aspx?tid=13984^","VA Autodesk Model Checker Utility for Revit")</f>
        <v>VA Autodesk Model Checker Utility for Revit</v>
      </c>
      <c r="B918" s="4" t="s">
        <v>44</v>
      </c>
      <c r="C918" s="8" t="s">
        <v>5</v>
      </c>
      <c r="D918" s="11" t="s">
        <v>3600</v>
      </c>
    </row>
    <row r="919" spans="1:4" ht="30">
      <c r="A919" s="5" t="str">
        <f>HYPERLINK("https://www.oit.va.gov/Services/TRM/ToolPage.aspx?tid=13465^","DWGSee DWG Viewer")</f>
        <v>DWGSee DWG Viewer</v>
      </c>
      <c r="B919" s="4" t="s">
        <v>6554</v>
      </c>
      <c r="C919" s="8" t="s">
        <v>5</v>
      </c>
      <c r="D919" s="11" t="s">
        <v>3369</v>
      </c>
    </row>
    <row r="920" spans="1:4" ht="30">
      <c r="A920" s="5" t="str">
        <f>HYPERLINK("https://www.oit.va.gov/Services/TRM/ToolPage.aspx?tid=6575^","Autofac")</f>
        <v>Autofac</v>
      </c>
      <c r="B920" s="4" t="s">
        <v>7510</v>
      </c>
      <c r="C920" s="8" t="s">
        <v>5</v>
      </c>
      <c r="D920" s="11" t="s">
        <v>84</v>
      </c>
    </row>
    <row r="921" spans="1:4" ht="30">
      <c r="A921" s="5" t="str">
        <f>HYPERLINK("https://www.oit.va.gov/Services/TRM/ToolPage.aspx?tid=6458^","AutoHotkey")</f>
        <v>AutoHotkey</v>
      </c>
      <c r="B921" s="4" t="s">
        <v>3791</v>
      </c>
      <c r="C921" s="8" t="s">
        <v>5</v>
      </c>
      <c r="D921" s="11" t="s">
        <v>3792</v>
      </c>
    </row>
    <row r="922" spans="1:4" ht="30">
      <c r="A922" s="5" t="str">
        <f>HYPERLINK("https://www.oit.va.gov/Services/TRM/ToolPage.aspx?tid=11565^","SciTE4AutoHotkey")</f>
        <v>SciTE4AutoHotkey</v>
      </c>
      <c r="B922" s="4" t="s">
        <v>3791</v>
      </c>
      <c r="C922" s="8" t="s">
        <v>5</v>
      </c>
      <c r="D922" s="11" t="s">
        <v>5493</v>
      </c>
    </row>
    <row r="923" spans="1:4" ht="30">
      <c r="A923" s="5" t="str">
        <f>HYPERLINK("https://www.oit.va.gov/Services/TRM/ToolPage.aspx?tid=13661^","AutoIt")</f>
        <v>AutoIt</v>
      </c>
      <c r="B923" s="4" t="s">
        <v>6306</v>
      </c>
      <c r="C923" s="8" t="s">
        <v>5</v>
      </c>
      <c r="D923" s="11" t="s">
        <v>6307</v>
      </c>
    </row>
    <row r="924" spans="1:4" ht="30">
      <c r="A924" s="5" t="str">
        <f>HYPERLINK("https://www.oit.va.gov/Services/TRM/ToolPage.aspx?tid=13537^","SciTE4AutoIt3")</f>
        <v>SciTE4AutoIt3</v>
      </c>
      <c r="B924" s="4" t="s">
        <v>6306</v>
      </c>
      <c r="C924" s="8" t="s">
        <v>5</v>
      </c>
      <c r="D924" s="11" t="s">
        <v>7058</v>
      </c>
    </row>
    <row r="925" spans="1:4" ht="30">
      <c r="A925" s="5" t="str">
        <f>HYPERLINK("https://www.oit.va.gov/Services/TRM/ToolPage.aspx?tid=13419^","AutoDocs")</f>
        <v>AutoDocs</v>
      </c>
      <c r="B925" s="4" t="s">
        <v>7509</v>
      </c>
      <c r="C925" s="8" t="s">
        <v>5</v>
      </c>
      <c r="D925" s="11" t="s">
        <v>2113</v>
      </c>
    </row>
    <row r="926" spans="1:4" ht="30">
      <c r="A926" s="5" t="str">
        <f>HYPERLINK("https://www.oit.va.gov/Services/TRM/ToolPage.aspx?tid=11728^","AutoMapper")</f>
        <v>AutoMapper</v>
      </c>
      <c r="B926" s="4" t="s">
        <v>3793</v>
      </c>
      <c r="C926" s="8" t="s">
        <v>5</v>
      </c>
      <c r="D926" s="11" t="s">
        <v>3794</v>
      </c>
    </row>
    <row r="927" spans="1:4" ht="30">
      <c r="A927" s="5" t="str">
        <f>HYPERLINK("https://www.oit.va.gov/Services/TRM/ToolPage.aspx?tid=10561^","Paratransit Management and Scheduling (PtMS) for Windows")</f>
        <v>Paratransit Management and Scheduling (PtMS) for Windows</v>
      </c>
      <c r="B927" s="4" t="s">
        <v>3121</v>
      </c>
      <c r="C927" s="8" t="s">
        <v>5</v>
      </c>
      <c r="D927" s="11" t="s">
        <v>3122</v>
      </c>
    </row>
    <row r="928" spans="1:4" ht="30">
      <c r="A928" s="5" t="str">
        <f>HYPERLINK("https://www.oit.va.gov/Services/TRM/ToolPage.aspx?tid=9214^","WebCtrl")</f>
        <v>WebCtrl</v>
      </c>
      <c r="B928" s="4" t="s">
        <v>3082</v>
      </c>
      <c r="C928" s="8" t="s">
        <v>5</v>
      </c>
      <c r="D928" s="11" t="s">
        <v>881</v>
      </c>
    </row>
    <row r="929" spans="1:4" ht="30">
      <c r="A929" s="5" t="str">
        <f>HYPERLINK("https://www.oit.va.gov/Services/TRM/ToolPage.aspx?tid=9039^","C-more Operator Interface Programming Software")</f>
        <v>C-more Operator Interface Programming Software</v>
      </c>
      <c r="B929" s="4" t="s">
        <v>3935</v>
      </c>
      <c r="C929" s="8" t="s">
        <v>5</v>
      </c>
      <c r="D929" s="11" t="s">
        <v>3936</v>
      </c>
    </row>
    <row r="930" spans="1:4" ht="30">
      <c r="A930" s="5" t="str">
        <f>HYPERLINK("https://www.oit.va.gov/Services/TRM/ToolPage.aspx?tid=14062^","Simplenote")</f>
        <v>Simplenote</v>
      </c>
      <c r="B930" s="4" t="s">
        <v>1104</v>
      </c>
      <c r="C930" s="8" t="s">
        <v>5</v>
      </c>
      <c r="D930" s="11" t="s">
        <v>1105</v>
      </c>
    </row>
    <row r="931" spans="1:4" ht="30">
      <c r="A931" s="5" t="str">
        <f>HYPERLINK("https://www.oit.va.gov/Services/TRM/ToolPage.aspx?tid=15691^","Automox")</f>
        <v>Automox</v>
      </c>
      <c r="B931" s="4" t="s">
        <v>3798</v>
      </c>
      <c r="C931" s="8" t="s">
        <v>5</v>
      </c>
      <c r="D931" s="11" t="s">
        <v>3799</v>
      </c>
    </row>
    <row r="932" spans="1:4" ht="30">
      <c r="A932" s="5" t="str">
        <f>HYPERLINK("https://www.oit.va.gov/Services/TRM/ToolPage.aspx?tid=16240^","ChroPath Chrome Extension")</f>
        <v>ChroPath Chrome Extension</v>
      </c>
      <c r="B932" s="4" t="s">
        <v>7639</v>
      </c>
      <c r="C932" s="8" t="s">
        <v>5</v>
      </c>
      <c r="D932" s="11" t="s">
        <v>7640</v>
      </c>
    </row>
    <row r="933" spans="1:4" ht="30">
      <c r="A933" s="5" t="str">
        <f>HYPERLINK("https://www.oit.va.gov/Services/TRM/ToolPage.aspx?tid=16807^","AutoRabit CodeScan for Visual Studio (VS) Code Plugin")</f>
        <v>AutoRabit CodeScan for Visual Studio (VS) Code Plugin</v>
      </c>
      <c r="B933" s="4" t="s">
        <v>3800</v>
      </c>
      <c r="C933" s="8" t="s">
        <v>5</v>
      </c>
      <c r="D933" s="11" t="s">
        <v>1641</v>
      </c>
    </row>
    <row r="934" spans="1:4" ht="30">
      <c r="A934" s="5" t="str">
        <f>HYPERLINK("https://www.oit.va.gov/Services/TRM/ToolPage.aspx?tid=15743^","AutoSPRINK Revit (RVT)")</f>
        <v>AutoSPRINK Revit (RVT)</v>
      </c>
      <c r="B934" s="4" t="s">
        <v>6310</v>
      </c>
      <c r="C934" s="8" t="s">
        <v>5</v>
      </c>
      <c r="D934" s="11" t="s">
        <v>6311</v>
      </c>
    </row>
    <row r="935" spans="1:4" ht="30">
      <c r="A935" s="5" t="str">
        <f>HYPERLINK("https://www.oit.va.gov/Services/TRM/ToolPage.aspx?tid=13986^","Design and Print")</f>
        <v>Design and Print</v>
      </c>
      <c r="B935" s="4" t="s">
        <v>7752</v>
      </c>
      <c r="C935" s="8" t="s">
        <v>5</v>
      </c>
      <c r="D935" s="11" t="s">
        <v>7753</v>
      </c>
    </row>
    <row r="936" spans="1:4" ht="30">
      <c r="A936" s="5" t="str">
        <f>HYPERLINK("https://www.oit.va.gov/Services/TRM/ToolPage.aspx?tid=5946^","Digital Line Detect")</f>
        <v>Digital Line Detect</v>
      </c>
      <c r="B936" s="4" t="s">
        <v>7752</v>
      </c>
      <c r="C936" s="8" t="s">
        <v>5</v>
      </c>
      <c r="D936" s="11" t="s">
        <v>3214</v>
      </c>
    </row>
    <row r="937" spans="1:4" ht="30">
      <c r="A937" s="5" t="str">
        <f>HYPERLINK("https://www.oit.va.gov/Services/TRM/ToolPage.aspx?tid=13625^","Driver Genius")</f>
        <v>Driver Genius</v>
      </c>
      <c r="B937" s="4" t="s">
        <v>7752</v>
      </c>
      <c r="C937" s="8" t="s">
        <v>5</v>
      </c>
      <c r="D937" s="11" t="s">
        <v>7371</v>
      </c>
    </row>
    <row r="938" spans="1:4" ht="30">
      <c r="A938" s="5" t="str">
        <f>HYPERLINK("https://www.oit.va.gov/Services/TRM/ToolPage.aspx?tid=13527^","Motorola Mobile PhoneTools")</f>
        <v>Motorola Mobile PhoneTools</v>
      </c>
      <c r="B938" s="4" t="s">
        <v>7752</v>
      </c>
      <c r="C938" s="8" t="s">
        <v>5</v>
      </c>
      <c r="D938" s="11" t="s">
        <v>8280</v>
      </c>
    </row>
    <row r="939" spans="1:4" ht="30">
      <c r="A939" s="5" t="str">
        <f>HYPERLINK("https://www.oit.va.gov/Services/TRM/ToolPage.aspx?tid=13476^","MyLabel Designer Deluxe")</f>
        <v>MyLabel Designer Deluxe</v>
      </c>
      <c r="B939" s="4" t="s">
        <v>7752</v>
      </c>
      <c r="C939" s="8" t="s">
        <v>5</v>
      </c>
      <c r="D939" s="11" t="s">
        <v>7371</v>
      </c>
    </row>
    <row r="940" spans="1:4" ht="30">
      <c r="A940" s="5" t="str">
        <f>HYPERLINK("https://www.oit.va.gov/Services/TRM/ToolPage.aspx?tid=13981^","Smart Driver Updater")</f>
        <v>Smart Driver Updater</v>
      </c>
      <c r="B940" s="4" t="s">
        <v>7752</v>
      </c>
      <c r="C940" s="8" t="s">
        <v>5</v>
      </c>
      <c r="D940" s="11" t="s">
        <v>8604</v>
      </c>
    </row>
    <row r="941" spans="1:4" ht="30">
      <c r="A941" s="5" t="str">
        <f>HYPERLINK("https://www.oit.va.gov/Services/TRM/ToolPage.aspx?tid=13365^","VCE Simulator")</f>
        <v>VCE Simulator</v>
      </c>
      <c r="B941" s="4" t="s">
        <v>8865</v>
      </c>
      <c r="C941" s="8" t="s">
        <v>5</v>
      </c>
      <c r="D941" s="11" t="s">
        <v>3569</v>
      </c>
    </row>
    <row r="942" spans="1:4" ht="30">
      <c r="A942" s="5" t="str">
        <f>HYPERLINK("https://www.oit.va.gov/Services/TRM/ToolPage.aspx?tid=13350^","Avant Browser")</f>
        <v>Avant Browser</v>
      </c>
      <c r="B942" s="4" t="s">
        <v>7513</v>
      </c>
      <c r="C942" s="8" t="s">
        <v>5</v>
      </c>
      <c r="D942" s="11" t="s">
        <v>7514</v>
      </c>
    </row>
    <row r="943" spans="1:4" ht="30">
      <c r="A943" s="5" t="str">
        <f>HYPERLINK("https://www.oit.va.gov/Services/TRM/ToolPage.aspx?tid=5939^","Defraggler")</f>
        <v>Defraggler</v>
      </c>
      <c r="B943" s="4" t="s">
        <v>5134</v>
      </c>
      <c r="C943" s="8" t="s">
        <v>5</v>
      </c>
      <c r="D943" s="11" t="s">
        <v>1388</v>
      </c>
    </row>
    <row r="944" spans="1:4" ht="30">
      <c r="A944" s="5" t="str">
        <f>HYPERLINK("https://www.oit.va.gov/Services/TRM/ToolPage.aspx?tid=12890^","Avast Antivirus")</f>
        <v>Avast Antivirus</v>
      </c>
      <c r="B944" s="4" t="s">
        <v>5134</v>
      </c>
      <c r="C944" s="8" t="s">
        <v>5</v>
      </c>
      <c r="D944" s="11" t="s">
        <v>7515</v>
      </c>
    </row>
    <row r="945" spans="1:4" ht="30">
      <c r="A945" s="5" t="str">
        <f>HYPERLINK("https://www.oit.va.gov/Services/TRM/ToolPage.aspx?tid=16581^","Avast Secure Browser")</f>
        <v>Avast Secure Browser</v>
      </c>
      <c r="B945" s="4" t="s">
        <v>1146</v>
      </c>
      <c r="C945" s="8" t="s">
        <v>5</v>
      </c>
      <c r="D945" s="11" t="s">
        <v>1147</v>
      </c>
    </row>
    <row r="946" spans="1:4" ht="30">
      <c r="A946" s="5" t="str">
        <f>HYPERLINK("https://www.oit.va.gov/Services/TRM/ToolPage.aspx?tid=10600^","AvaSure Telesitter")</f>
        <v>AvaSure Telesitter</v>
      </c>
      <c r="B946" s="4" t="s">
        <v>5669</v>
      </c>
      <c r="C946" s="8" t="s">
        <v>5</v>
      </c>
      <c r="D946" s="11" t="s">
        <v>1605</v>
      </c>
    </row>
    <row r="947" spans="1:4" ht="30">
      <c r="A947" s="5" t="str">
        <f>HYPERLINK("https://www.oit.va.gov/Services/TRM/ToolPage.aspx?tid=9276^","Avaya IX Workforce Engagement")</f>
        <v>Avaya IX Workforce Engagement</v>
      </c>
      <c r="B947" s="4" t="s">
        <v>123</v>
      </c>
      <c r="C947" s="8" t="s">
        <v>5</v>
      </c>
      <c r="D947" s="11" t="s">
        <v>124</v>
      </c>
    </row>
    <row r="948" spans="1:4" ht="30">
      <c r="A948" s="5" t="str">
        <f>HYPERLINK("https://www.oit.va.gov/Services/TRM/ToolPage.aspx?tid=12879^","Avaya Aura Communication Manager")</f>
        <v>Avaya Aura Communication Manager</v>
      </c>
      <c r="B948" s="4" t="s">
        <v>123</v>
      </c>
      <c r="C948" s="8" t="s">
        <v>5</v>
      </c>
      <c r="D948" s="11" t="s">
        <v>587</v>
      </c>
    </row>
    <row r="949" spans="1:4" ht="30">
      <c r="A949" s="5" t="str">
        <f>HYPERLINK("https://www.oit.va.gov/Services/TRM/ToolPage.aspx?tid=10058^","IP Softphone 2050")</f>
        <v>IP Softphone 2050</v>
      </c>
      <c r="B949" s="4" t="s">
        <v>123</v>
      </c>
      <c r="C949" s="8" t="s">
        <v>5</v>
      </c>
      <c r="D949" s="11" t="s">
        <v>723</v>
      </c>
    </row>
    <row r="950" spans="1:4" ht="30">
      <c r="A950" s="5" t="str">
        <f>HYPERLINK("https://www.oit.va.gov/Services/TRM/ToolPage.aspx?tid=12875^","Avaya Aura Media Server")</f>
        <v>Avaya Aura Media Server</v>
      </c>
      <c r="B950" s="4" t="s">
        <v>123</v>
      </c>
      <c r="C950" s="8" t="s">
        <v>5</v>
      </c>
      <c r="D950" s="11" t="s">
        <v>1332</v>
      </c>
    </row>
    <row r="951" spans="1:4" ht="30">
      <c r="A951" s="5" t="str">
        <f>HYPERLINK("https://www.oit.va.gov/Services/TRM/ToolPage.aspx?tid=5591^","Avaya CallPilot")</f>
        <v>Avaya CallPilot</v>
      </c>
      <c r="B951" s="4" t="s">
        <v>123</v>
      </c>
      <c r="C951" s="8" t="s">
        <v>5</v>
      </c>
      <c r="D951" s="11" t="s">
        <v>177</v>
      </c>
    </row>
    <row r="952" spans="1:4" ht="30">
      <c r="A952" s="5" t="str">
        <f>HYPERLINK("https://www.oit.va.gov/Services/TRM/ToolPage.aspx?tid=9099^","Avaya Diagnostic Server")</f>
        <v>Avaya Diagnostic Server</v>
      </c>
      <c r="B952" s="4" t="s">
        <v>123</v>
      </c>
      <c r="C952" s="8" t="s">
        <v>5</v>
      </c>
      <c r="D952" s="11" t="s">
        <v>1333</v>
      </c>
    </row>
    <row r="953" spans="1:4" ht="30">
      <c r="A953" s="5" t="str">
        <f>HYPERLINK("https://www.oit.va.gov/Services/TRM/ToolPage.aspx?tid=10149^","Avaya one-X Agent")</f>
        <v>Avaya one-X Agent</v>
      </c>
      <c r="B953" s="4" t="s">
        <v>123</v>
      </c>
      <c r="C953" s="8" t="s">
        <v>5</v>
      </c>
      <c r="D953" s="11" t="s">
        <v>1334</v>
      </c>
    </row>
    <row r="954" spans="1:4" ht="30">
      <c r="A954" s="5" t="str">
        <f>HYPERLINK("https://www.oit.va.gov/Services/TRM/ToolPage.aspx?tid=6544^","Avaya Workplace Client")</f>
        <v>Avaya Workplace Client</v>
      </c>
      <c r="B954" s="4" t="s">
        <v>123</v>
      </c>
      <c r="C954" s="8" t="s">
        <v>5</v>
      </c>
      <c r="D954" s="11" t="s">
        <v>1335</v>
      </c>
    </row>
    <row r="955" spans="1:4" ht="30">
      <c r="A955" s="5" t="str">
        <f>HYPERLINK("https://www.oit.va.gov/Services/TRM/ToolPage.aspx?tid=9571^","Avaya Aura Agent Desktop (AAAD)")</f>
        <v>Avaya Aura Agent Desktop (AAAD)</v>
      </c>
      <c r="B955" s="4" t="s">
        <v>123</v>
      </c>
      <c r="C955" s="8" t="s">
        <v>5</v>
      </c>
      <c r="D955" s="11" t="s">
        <v>2396</v>
      </c>
    </row>
    <row r="956" spans="1:4" ht="30">
      <c r="A956" s="5" t="str">
        <f>HYPERLINK("https://www.oit.va.gov/Services/TRM/ToolPage.aspx?tid=8193^","Avaya one-X Communicator")</f>
        <v>Avaya one-X Communicator</v>
      </c>
      <c r="B956" s="4" t="s">
        <v>123</v>
      </c>
      <c r="C956" s="8" t="s">
        <v>5</v>
      </c>
      <c r="D956" s="11" t="s">
        <v>2397</v>
      </c>
    </row>
    <row r="957" spans="1:4" ht="30">
      <c r="A957" s="5" t="str">
        <f>HYPERLINK("https://www.oit.va.gov/Services/TRM/ToolPage.aspx?tid=9346^","Avaya Pod Orchestration Suite")</f>
        <v>Avaya Pod Orchestration Suite</v>
      </c>
      <c r="B957" s="4" t="s">
        <v>123</v>
      </c>
      <c r="C957" s="8" t="s">
        <v>5</v>
      </c>
      <c r="D957" s="11" t="s">
        <v>2398</v>
      </c>
    </row>
    <row r="958" spans="1:4" ht="30">
      <c r="A958" s="5" t="str">
        <f>HYPERLINK("https://www.oit.va.gov/Services/TRM/ToolPage.aspx?tid=8104^","Avaya Site Administration")</f>
        <v>Avaya Site Administration</v>
      </c>
      <c r="B958" s="4" t="s">
        <v>123</v>
      </c>
      <c r="C958" s="8" t="s">
        <v>5</v>
      </c>
      <c r="D958" s="11" t="s">
        <v>2399</v>
      </c>
    </row>
    <row r="959" spans="1:4" ht="30">
      <c r="A959" s="5" t="str">
        <f>HYPERLINK("https://www.oit.va.gov/Services/TRM/ToolPage.aspx?tid=10592^","Avaya Call Management System (CMS)")</f>
        <v>Avaya Call Management System (CMS)</v>
      </c>
      <c r="B959" s="4" t="s">
        <v>123</v>
      </c>
      <c r="C959" s="8" t="s">
        <v>5</v>
      </c>
      <c r="D959" s="11" t="s">
        <v>3164</v>
      </c>
    </row>
    <row r="960" spans="1:4" ht="30">
      <c r="A960" s="5" t="str">
        <f>HYPERLINK("https://www.oit.va.gov/Services/TRM/ToolPage.aspx?tid=11509^","Avaya Oceana")</f>
        <v>Avaya Oceana</v>
      </c>
      <c r="B960" s="4" t="s">
        <v>123</v>
      </c>
      <c r="C960" s="8" t="s">
        <v>5</v>
      </c>
      <c r="D960" s="11" t="s">
        <v>3165</v>
      </c>
    </row>
    <row r="961" spans="1:4" ht="30">
      <c r="A961" s="5" t="str">
        <f>HYPERLINK("https://www.oit.va.gov/Services/TRM/ToolPage.aspx?tid=9113^","Aura Application Enablement Service (AES)")</f>
        <v>Aura Application Enablement Service (AES)</v>
      </c>
      <c r="B961" s="4" t="s">
        <v>123</v>
      </c>
      <c r="C961" s="8" t="s">
        <v>5</v>
      </c>
      <c r="D961" s="11" t="s">
        <v>3763</v>
      </c>
    </row>
    <row r="962" spans="1:4" ht="30">
      <c r="A962" s="5" t="str">
        <f>HYPERLINK("https://www.oit.va.gov/Services/TRM/ToolPage.aspx?tid=8394^","Aura Experience Portal (AAEP/AEP)")</f>
        <v>Aura Experience Portal (AAEP/AEP)</v>
      </c>
      <c r="B962" s="4" t="s">
        <v>123</v>
      </c>
      <c r="C962" s="8" t="s">
        <v>5</v>
      </c>
      <c r="D962" s="11" t="s">
        <v>1299</v>
      </c>
    </row>
    <row r="963" spans="1:4" ht="30">
      <c r="A963" s="5" t="str">
        <f>HYPERLINK("https://www.oit.va.gov/Services/TRM/ToolPage.aspx?tid=8192^","Avaya Aura Call Center Elite Multi Channel")</f>
        <v>Avaya Aura Call Center Elite Multi Channel</v>
      </c>
      <c r="B963" s="4" t="s">
        <v>123</v>
      </c>
      <c r="C963" s="8" t="s">
        <v>5</v>
      </c>
      <c r="D963" s="11" t="s">
        <v>2789</v>
      </c>
    </row>
    <row r="964" spans="1:4" ht="30">
      <c r="A964" s="5" t="str">
        <f>HYPERLINK("https://www.oit.va.gov/Services/TRM/ToolPage.aspx?tid=9048^","Avaya Aura System Manager")</f>
        <v>Avaya Aura System Manager</v>
      </c>
      <c r="B964" s="4" t="s">
        <v>123</v>
      </c>
      <c r="C964" s="8" t="s">
        <v>5</v>
      </c>
      <c r="D964" s="11" t="s">
        <v>850</v>
      </c>
    </row>
    <row r="965" spans="1:4" ht="30">
      <c r="A965" s="5" t="str">
        <f>HYPERLINK("https://www.oit.va.gov/Services/TRM/ToolPage.aspx?tid=15401^","Avaya Session Border Controller for Enterprise (ASBCE)")</f>
        <v>Avaya Session Border Controller for Enterprise (ASBCE)</v>
      </c>
      <c r="B965" s="4" t="s">
        <v>123</v>
      </c>
      <c r="C965" s="8" t="s">
        <v>5</v>
      </c>
      <c r="D965" s="11" t="s">
        <v>547</v>
      </c>
    </row>
    <row r="966" spans="1:4" ht="30">
      <c r="A966" s="5" t="str">
        <f>HYPERLINK("https://www.oit.va.gov/Services/TRM/ToolPage.aspx?tid=13433^","Avaya Workforce Engagement")</f>
        <v>Avaya Workforce Engagement</v>
      </c>
      <c r="B966" s="4" t="s">
        <v>123</v>
      </c>
      <c r="C966" s="8" t="s">
        <v>5</v>
      </c>
      <c r="D966" s="11" t="s">
        <v>418</v>
      </c>
    </row>
    <row r="967" spans="1:4" ht="30">
      <c r="A967" s="5" t="str">
        <f>HYPERLINK("https://www.oit.va.gov/Services/TRM/ToolPage.aspx?tid=8389^","Proactive Outreach Manager (POM)")</f>
        <v>Proactive Outreach Manager (POM)</v>
      </c>
      <c r="B967" s="4" t="s">
        <v>123</v>
      </c>
      <c r="C967" s="8" t="s">
        <v>5</v>
      </c>
      <c r="D967" s="11" t="s">
        <v>1004</v>
      </c>
    </row>
    <row r="968" spans="1:4" ht="30">
      <c r="A968" s="5" t="str">
        <f>HYPERLINK("https://www.oit.va.gov/Services/TRM/ToolPage.aspx?tid=11292^","Value Package Introduction (VPI) Empower")</f>
        <v>Value Package Introduction (VPI) Empower</v>
      </c>
      <c r="B968" s="4" t="s">
        <v>123</v>
      </c>
      <c r="C968" s="8" t="s">
        <v>5</v>
      </c>
      <c r="D968" s="11" t="s">
        <v>324</v>
      </c>
    </row>
    <row r="969" spans="1:4" ht="30">
      <c r="A969" s="5" t="str">
        <f>HYPERLINK("https://www.oit.va.gov/Services/TRM/ToolPage.aspx?tid=9063^","Avaya Aura System Platform")</f>
        <v>Avaya Aura System Platform</v>
      </c>
      <c r="B969" s="4" t="s">
        <v>123</v>
      </c>
      <c r="C969" s="8" t="s">
        <v>5</v>
      </c>
      <c r="D969" s="11" t="s">
        <v>3867</v>
      </c>
    </row>
    <row r="970" spans="1:4" ht="30">
      <c r="A970" s="5" t="str">
        <f>HYPERLINK("https://www.oit.va.gov/Services/TRM/ToolPage.aspx?tid=12811^","Avaya Aura Contact Center")</f>
        <v>Avaya Aura Contact Center</v>
      </c>
      <c r="B970" s="4" t="s">
        <v>123</v>
      </c>
      <c r="C970" s="8" t="s">
        <v>5</v>
      </c>
      <c r="D970" s="11" t="s">
        <v>1373</v>
      </c>
    </row>
    <row r="971" spans="1:4" ht="30">
      <c r="A971" s="5" t="str">
        <f>HYPERLINK("https://www.oit.va.gov/Services/TRM/ToolPage.aspx?tid=15666^","Avaya Callback Assist (CBA)")</f>
        <v>Avaya Callback Assist (CBA)</v>
      </c>
      <c r="B971" s="4" t="s">
        <v>123</v>
      </c>
      <c r="C971" s="8" t="s">
        <v>5</v>
      </c>
      <c r="D971" s="11" t="s">
        <v>5670</v>
      </c>
    </row>
    <row r="972" spans="1:4" ht="30">
      <c r="A972" s="5" t="str">
        <f>HYPERLINK("https://www.oit.va.gov/Services/TRM/ToolPage.aspx?tid=12917^","Avaya Communication Server 1000 (CS1000)")</f>
        <v>Avaya Communication Server 1000 (CS1000)</v>
      </c>
      <c r="B972" s="4" t="s">
        <v>123</v>
      </c>
      <c r="C972" s="8" t="s">
        <v>5</v>
      </c>
      <c r="D972" s="11" t="s">
        <v>5671</v>
      </c>
    </row>
    <row r="973" spans="1:4" ht="30">
      <c r="A973" s="5" t="str">
        <f>HYPERLINK("https://www.oit.va.gov/Services/TRM/ToolPage.aspx?tid=15365^","Avaya Alternate Access Utility")</f>
        <v>Avaya Alternate Access Utility</v>
      </c>
      <c r="B973" s="4" t="s">
        <v>123</v>
      </c>
      <c r="C973" s="8" t="s">
        <v>5</v>
      </c>
      <c r="D973" s="11" t="s">
        <v>1373</v>
      </c>
    </row>
    <row r="974" spans="1:4" ht="30">
      <c r="A974" s="5" t="str">
        <f>HYPERLINK("https://www.oit.va.gov/Services/TRM/ToolPage.aspx?tid=14724^","Avaya Aura Messaging")</f>
        <v>Avaya Aura Messaging</v>
      </c>
      <c r="B974" s="4" t="s">
        <v>123</v>
      </c>
      <c r="C974" s="8" t="s">
        <v>5</v>
      </c>
      <c r="D974" s="11" t="s">
        <v>6312</v>
      </c>
    </row>
    <row r="975" spans="1:4" ht="30">
      <c r="A975" s="5" t="str">
        <f>HYPERLINK("https://www.oit.va.gov/Services/TRM/ToolPage.aspx?tid=8381^","Avaya Aura Session Manager (ASM)")</f>
        <v>Avaya Aura Session Manager (ASM)</v>
      </c>
      <c r="B975" s="4" t="s">
        <v>123</v>
      </c>
      <c r="C975" s="8" t="s">
        <v>5</v>
      </c>
      <c r="D975" s="11" t="s">
        <v>3267</v>
      </c>
    </row>
    <row r="976" spans="1:4" ht="30">
      <c r="A976" s="5" t="str">
        <f>HYPERLINK("https://www.oit.va.gov/Services/TRM/ToolPage.aspx?tid=13359^","Avaya Navigator")</f>
        <v>Avaya Navigator</v>
      </c>
      <c r="B976" s="4" t="s">
        <v>123</v>
      </c>
      <c r="C976" s="8" t="s">
        <v>5</v>
      </c>
      <c r="D976" s="11" t="s">
        <v>6313</v>
      </c>
    </row>
    <row r="977" spans="1:4" ht="30">
      <c r="A977" s="5" t="str">
        <f>HYPERLINK("https://www.oit.va.gov/Services/TRM/ToolPage.aspx?tid=13946^","INTUITY Message Manager")</f>
        <v>INTUITY Message Manager</v>
      </c>
      <c r="B977" s="4" t="s">
        <v>123</v>
      </c>
      <c r="C977" s="8" t="s">
        <v>5</v>
      </c>
      <c r="D977" s="11" t="s">
        <v>6726</v>
      </c>
    </row>
    <row r="978" spans="1:4" ht="30">
      <c r="A978" s="5" t="str">
        <f>HYPERLINK("https://www.oit.va.gov/Services/TRM/ToolPage.aspx?tid=13499^","Avaya Automatic Call Distribution (ACD)")</f>
        <v>Avaya Automatic Call Distribution (ACD)</v>
      </c>
      <c r="B978" s="4" t="s">
        <v>123</v>
      </c>
      <c r="C978" s="8" t="s">
        <v>5</v>
      </c>
      <c r="D978" s="11" t="s">
        <v>7516</v>
      </c>
    </row>
    <row r="979" spans="1:4" ht="30">
      <c r="A979" s="5" t="str">
        <f>HYPERLINK("https://www.oit.va.gov/Services/TRM/ToolPage.aspx?tid=14035^","Avaya Interaction Data Server")</f>
        <v>Avaya Interaction Data Server</v>
      </c>
      <c r="B979" s="4" t="s">
        <v>123</v>
      </c>
      <c r="C979" s="8" t="s">
        <v>5</v>
      </c>
      <c r="D979" s="11" t="s">
        <v>385</v>
      </c>
    </row>
    <row r="980" spans="1:4" ht="30">
      <c r="A980" s="5" t="str">
        <f>HYPERLINK("https://www.oit.va.gov/Services/TRM/ToolPage.aspx?tid=12842^","Avaya Messaging")</f>
        <v>Avaya Messaging</v>
      </c>
      <c r="B980" s="4" t="s">
        <v>123</v>
      </c>
      <c r="C980" s="8" t="s">
        <v>5</v>
      </c>
      <c r="D980" s="11" t="s">
        <v>7517</v>
      </c>
    </row>
    <row r="981" spans="1:4" ht="30">
      <c r="A981" s="5" t="str">
        <f>HYPERLINK("https://www.oit.va.gov/Services/TRM/ToolPage.aspx?tid=13375^","Avaya Network Reporting")</f>
        <v>Avaya Network Reporting</v>
      </c>
      <c r="B981" s="4" t="s">
        <v>123</v>
      </c>
      <c r="C981" s="8" t="s">
        <v>5</v>
      </c>
      <c r="D981" s="11" t="s">
        <v>7518</v>
      </c>
    </row>
    <row r="982" spans="1:4" ht="30">
      <c r="A982" s="5" t="str">
        <f>HYPERLINK("https://www.oit.va.gov/Services/TRM/ToolPage.aspx?tid=14779^","Avaya ProVision")</f>
        <v>Avaya ProVision</v>
      </c>
      <c r="B982" s="4" t="s">
        <v>123</v>
      </c>
      <c r="C982" s="8" t="s">
        <v>5</v>
      </c>
      <c r="D982" s="11" t="s">
        <v>1409</v>
      </c>
    </row>
    <row r="983" spans="1:4" ht="30">
      <c r="A983" s="5" t="str">
        <f>HYPERLINK("https://www.oit.va.gov/Services/TRM/ToolPage.aspx?tid=13565^","Avaya Voice Player")</f>
        <v>Avaya Voice Player</v>
      </c>
      <c r="B983" s="4" t="s">
        <v>123</v>
      </c>
      <c r="C983" s="8" t="s">
        <v>5</v>
      </c>
      <c r="D983" s="11" t="s">
        <v>6344</v>
      </c>
    </row>
    <row r="984" spans="1:4" ht="30">
      <c r="A984" s="5" t="str">
        <f>HYPERLINK("https://www.oit.va.gov/Services/TRM/ToolPage.aspx?tid=10609^","Avaya Win Portable Device Manager (WinPDM)")</f>
        <v>Avaya Win Portable Device Manager (WinPDM)</v>
      </c>
      <c r="B984" s="4" t="s">
        <v>123</v>
      </c>
      <c r="C984" s="8" t="s">
        <v>5</v>
      </c>
      <c r="D984" s="11" t="s">
        <v>7519</v>
      </c>
    </row>
    <row r="985" spans="1:4" ht="30">
      <c r="A985" s="5" t="str">
        <f>HYPERLINK("https://www.oit.va.gov/Services/TRM/ToolPage.aspx?tid=13443^","IP Office Administration")</f>
        <v>IP Office Administration</v>
      </c>
      <c r="B985" s="4" t="s">
        <v>123</v>
      </c>
      <c r="C985" s="8" t="s">
        <v>5</v>
      </c>
      <c r="D985" s="11" t="s">
        <v>8104</v>
      </c>
    </row>
    <row r="986" spans="1:4" ht="30">
      <c r="A986" s="5" t="str">
        <f>HYPERLINK("https://www.oit.va.gov/Services/TRM/ToolPage.aspx?tid=13459^","OrderPro")</f>
        <v>OrderPro</v>
      </c>
      <c r="B986" s="4" t="s">
        <v>123</v>
      </c>
      <c r="C986" s="8" t="s">
        <v>5</v>
      </c>
      <c r="D986" s="11" t="s">
        <v>7366</v>
      </c>
    </row>
    <row r="987" spans="1:4" ht="30">
      <c r="A987" s="5" t="str">
        <f>HYPERLINK("https://www.oit.va.gov/Services/TRM/ToolPage.aspx?tid=13488^","Terminal Emulator")</f>
        <v>Terminal Emulator</v>
      </c>
      <c r="B987" s="4" t="s">
        <v>123</v>
      </c>
      <c r="C987" s="8" t="s">
        <v>5</v>
      </c>
      <c r="D987" s="11" t="s">
        <v>8788</v>
      </c>
    </row>
    <row r="988" spans="1:4" ht="30">
      <c r="A988" s="5" t="str">
        <f>HYPERLINK("https://www.oit.va.gov/Services/TRM/ToolPage.aspx?tid=13279^","Any Video Converter (AVC)")</f>
        <v>Any Video Converter (AVC)</v>
      </c>
      <c r="B988" s="4" t="s">
        <v>5639</v>
      </c>
      <c r="C988" s="8" t="s">
        <v>5</v>
      </c>
      <c r="D988" s="11" t="s">
        <v>5640</v>
      </c>
    </row>
    <row r="989" spans="1:4" ht="30">
      <c r="A989" s="5" t="str">
        <f>HYPERLINK("https://www.oit.va.gov/Services/TRM/ToolPage.aspx?tid=7718^","DocAve Software Platform")</f>
        <v>DocAve Software Platform</v>
      </c>
      <c r="B989" s="4" t="s">
        <v>7781</v>
      </c>
      <c r="C989" s="8" t="s">
        <v>5</v>
      </c>
      <c r="D989" s="11" t="s">
        <v>4011</v>
      </c>
    </row>
    <row r="990" spans="1:4" ht="30">
      <c r="A990" s="5" t="str">
        <f>HYPERLINK("https://www.oit.va.gov/Services/TRM/ToolPage.aspx?tid=5577^","Avery Design and Print")</f>
        <v>Avery Design and Print</v>
      </c>
      <c r="B990" s="4" t="s">
        <v>3802</v>
      </c>
      <c r="C990" s="8" t="s">
        <v>5</v>
      </c>
      <c r="D990" s="11" t="s">
        <v>3803</v>
      </c>
    </row>
    <row r="991" spans="1:4" ht="30">
      <c r="A991" s="5" t="str">
        <f>HYPERLINK("https://www.oit.va.gov/Services/TRM/ToolPage.aspx?tid=11628^","Avery Wizard for Microsoft Office")</f>
        <v>Avery Wizard for Microsoft Office</v>
      </c>
      <c r="B991" s="4" t="s">
        <v>3802</v>
      </c>
      <c r="C991" s="8" t="s">
        <v>5</v>
      </c>
      <c r="D991" s="11" t="s">
        <v>659</v>
      </c>
    </row>
    <row r="992" spans="1:4" ht="30">
      <c r="A992" s="5" t="str">
        <f>HYPERLINK("https://www.oit.va.gov/Services/TRM/ToolPage.aspx?tid=15775^","Aveva Edge Supervisory Control and Data Acquisition (SCADA)")</f>
        <v>Aveva Edge Supervisory Control and Data Acquisition (SCADA)</v>
      </c>
      <c r="B992" s="4" t="s">
        <v>1336</v>
      </c>
      <c r="C992" s="8" t="s">
        <v>5</v>
      </c>
      <c r="D992" s="11" t="s">
        <v>1337</v>
      </c>
    </row>
    <row r="993" spans="1:4" ht="30">
      <c r="A993" s="5" t="str">
        <f>HYPERLINK("https://www.oit.va.gov/Services/TRM/ToolPage.aspx?tid=16582^","AVG Secure Browser")</f>
        <v>AVG Secure Browser</v>
      </c>
      <c r="B993" s="4" t="s">
        <v>5067</v>
      </c>
      <c r="C993" s="8" t="s">
        <v>5</v>
      </c>
      <c r="D993" s="11" t="s">
        <v>1147</v>
      </c>
    </row>
    <row r="994" spans="1:4" ht="30">
      <c r="A994" s="5" t="str">
        <f>HYPERLINK("https://www.oit.va.gov/Services/TRM/ToolPage.aspx?tid=16789^","RD Tabs")</f>
        <v>RD Tabs</v>
      </c>
      <c r="B994" s="4" t="s">
        <v>7068</v>
      </c>
      <c r="C994" s="8" t="s">
        <v>5</v>
      </c>
      <c r="D994" s="11" t="s">
        <v>771</v>
      </c>
    </row>
    <row r="995" spans="1:4" ht="30">
      <c r="A995" s="5" t="str">
        <f>HYPERLINK("https://www.oit.va.gov/Services/TRM/ToolPage.aspx?tid=9483^","MedRec Inpatient")</f>
        <v>MedRec Inpatient</v>
      </c>
      <c r="B995" s="4" t="s">
        <v>1724</v>
      </c>
      <c r="C995" s="8" t="s">
        <v>5</v>
      </c>
      <c r="D995" s="11" t="s">
        <v>1725</v>
      </c>
    </row>
    <row r="996" spans="1:4" ht="30">
      <c r="A996" s="5" t="str">
        <f>HYPERLINK("https://www.oit.va.gov/Services/TRM/ToolPage.aspx?tid=15952^","MedRec Outpatient")</f>
        <v>MedRec Outpatient</v>
      </c>
      <c r="B996" s="4" t="s">
        <v>1724</v>
      </c>
      <c r="C996" s="8" t="s">
        <v>5</v>
      </c>
      <c r="D996" s="11" t="s">
        <v>2759</v>
      </c>
    </row>
    <row r="997" spans="1:4" ht="30">
      <c r="A997" s="5" t="str">
        <f>HYPERLINK("https://www.oit.va.gov/Services/TRM/ToolPage.aspx?tid=10652^","AviTracks Disease Management (AviTracks-DM)")</f>
        <v>AviTracks Disease Management (AviTracks-DM)</v>
      </c>
      <c r="B997" s="4" t="s">
        <v>1724</v>
      </c>
      <c r="C997" s="8" t="s">
        <v>5</v>
      </c>
      <c r="D997" s="11" t="s">
        <v>710</v>
      </c>
    </row>
    <row r="998" spans="1:4" ht="30">
      <c r="A998" s="5" t="str">
        <f>HYPERLINK("https://www.oit.va.gov/Services/TRM/ToolPage.aspx?tid=7247^","Avid Media Composer")</f>
        <v>Avid Media Composer</v>
      </c>
      <c r="B998" s="4" t="s">
        <v>2400</v>
      </c>
      <c r="C998" s="8" t="s">
        <v>5</v>
      </c>
      <c r="D998" s="11" t="s">
        <v>326</v>
      </c>
    </row>
    <row r="999" spans="1:4" ht="30">
      <c r="A999" s="5" t="str">
        <f>HYPERLINK("https://www.oit.va.gov/Services/TRM/ToolPage.aspx?tid=14679^","Pivot")</f>
        <v>Pivot</v>
      </c>
      <c r="B999" s="4" t="s">
        <v>2400</v>
      </c>
      <c r="C999" s="8" t="s">
        <v>5</v>
      </c>
      <c r="D999" s="11" t="s">
        <v>940</v>
      </c>
    </row>
    <row r="1000" spans="1:4" ht="30">
      <c r="A1000" s="5" t="str">
        <f>HYPERLINK("https://www.oit.va.gov/Services/TRM/ToolPage.aspx?tid=14354^","Avid MediaCentral Production Management")</f>
        <v>Avid MediaCentral Production Management</v>
      </c>
      <c r="B1000" s="4" t="s">
        <v>2400</v>
      </c>
      <c r="C1000" s="8" t="s">
        <v>5</v>
      </c>
      <c r="D1000" s="11" t="s">
        <v>194</v>
      </c>
    </row>
    <row r="1001" spans="1:4" ht="30">
      <c r="A1001" s="5" t="str">
        <f>HYPERLINK("https://www.oit.va.gov/Services/TRM/ToolPage.aspx?tid=14349^","Avid Nexis")</f>
        <v>Avid Nexis</v>
      </c>
      <c r="B1001" s="4" t="s">
        <v>2400</v>
      </c>
      <c r="C1001" s="8" t="s">
        <v>5</v>
      </c>
      <c r="D1001" s="11" t="s">
        <v>3517</v>
      </c>
    </row>
    <row r="1002" spans="1:4" ht="30">
      <c r="A1002" s="5" t="str">
        <f>HYPERLINK("https://www.oit.va.gov/Services/TRM/ToolPage.aspx?tid=7245^","MediaCentral | Cloud UX")</f>
        <v>MediaCentral | Cloud UX</v>
      </c>
      <c r="B1002" s="4" t="s">
        <v>2400</v>
      </c>
      <c r="C1002" s="8" t="s">
        <v>5</v>
      </c>
      <c r="D1002" s="11" t="s">
        <v>3365</v>
      </c>
    </row>
    <row r="1003" spans="1:4" ht="30">
      <c r="A1003" s="5" t="str">
        <f>HYPERLINK("https://www.oit.va.gov/Services/TRM/ToolPage.aspx?tid=7246^","Avid Infinitely Scalable Intelligent Storage (ISIS) Software")</f>
        <v>Avid Infinitely Scalable Intelligent Storage (ISIS) Software</v>
      </c>
      <c r="B1003" s="4" t="s">
        <v>2400</v>
      </c>
      <c r="C1003" s="8" t="s">
        <v>5</v>
      </c>
      <c r="D1003" s="11" t="s">
        <v>7521</v>
      </c>
    </row>
    <row r="1004" spans="1:4" ht="30">
      <c r="A1004" s="5" t="str">
        <f>HYPERLINK("https://www.oit.va.gov/Services/TRM/ToolPage.aspx?tid=7259^","Avid Interplay Production")</f>
        <v>Avid Interplay Production</v>
      </c>
      <c r="B1004" s="4" t="s">
        <v>2400</v>
      </c>
      <c r="C1004" s="8" t="s">
        <v>5</v>
      </c>
      <c r="D1004" s="11" t="s">
        <v>7522</v>
      </c>
    </row>
    <row r="1005" spans="1:4" ht="30">
      <c r="A1005" s="5" t="str">
        <f>HYPERLINK("https://www.oit.va.gov/Services/TRM/ToolPage.aspx?tid=13519^","InterPlay Access")</f>
        <v>InterPlay Access</v>
      </c>
      <c r="B1005" s="4" t="s">
        <v>2400</v>
      </c>
      <c r="C1005" s="8" t="s">
        <v>5</v>
      </c>
      <c r="D1005" s="11" t="s">
        <v>8061</v>
      </c>
    </row>
    <row r="1006" spans="1:4" ht="30">
      <c r="A1006" s="5" t="str">
        <f>HYPERLINK("https://www.oit.va.gov/Services/TRM/ToolPage.aspx?tid=16556^","WatchdogEXL (Extended Local)")</f>
        <v>WatchdogEXL (Extended Local)</v>
      </c>
      <c r="B1006" s="4" t="s">
        <v>6153</v>
      </c>
      <c r="C1006" s="8" t="s">
        <v>5</v>
      </c>
      <c r="D1006" s="11" t="s">
        <v>706</v>
      </c>
    </row>
    <row r="1007" spans="1:4" ht="30">
      <c r="A1007" s="5" t="str">
        <f>HYPERLINK("https://www.oit.va.gov/Services/TRM/ToolPage.aspx?tid=13132^","Pulse Critical Monitoring and Control (CMC)")</f>
        <v>Pulse Critical Monitoring and Control (CMC)</v>
      </c>
      <c r="B1007" s="4" t="s">
        <v>6153</v>
      </c>
      <c r="C1007" s="8" t="s">
        <v>5</v>
      </c>
      <c r="D1007" s="11" t="s">
        <v>2901</v>
      </c>
    </row>
    <row r="1008" spans="1:4" ht="30">
      <c r="A1008" s="5" t="str">
        <f>HYPERLINK("https://www.oit.va.gov/Services/TRM/ToolPage.aspx?tid=14967^","Access Control Manager (ACM)")</f>
        <v>Access Control Manager (ACM)</v>
      </c>
      <c r="B1008" s="4" t="s">
        <v>2349</v>
      </c>
      <c r="C1008" s="8" t="s">
        <v>5</v>
      </c>
      <c r="D1008" s="11" t="s">
        <v>2350</v>
      </c>
    </row>
    <row r="1009" spans="1:4" ht="30">
      <c r="A1009" s="5" t="str">
        <f>HYPERLINK("https://www.oit.va.gov/Services/TRM/ToolPage.aspx?tid=8988^","Avigilon Control Center (ACC)")</f>
        <v>Avigilon Control Center (ACC)</v>
      </c>
      <c r="B1009" s="4" t="s">
        <v>2349</v>
      </c>
      <c r="C1009" s="8" t="s">
        <v>5</v>
      </c>
      <c r="D1009" s="11" t="s">
        <v>187</v>
      </c>
    </row>
    <row r="1010" spans="1:4" ht="30">
      <c r="A1010" s="5" t="str">
        <f>HYPERLINK("https://www.oit.va.gov/Services/TRM/ToolPage.aspx?tid=15355^","Avigilon Control Center Server")</f>
        <v>Avigilon Control Center Server</v>
      </c>
      <c r="B1010" s="4" t="s">
        <v>2349</v>
      </c>
      <c r="C1010" s="8" t="s">
        <v>5</v>
      </c>
      <c r="D1010" s="11" t="s">
        <v>2369</v>
      </c>
    </row>
    <row r="1011" spans="1:4" ht="30">
      <c r="A1011" s="5" t="str">
        <f>HYPERLINK("https://www.oit.va.gov/Services/TRM/ToolPage.aspx?tid=10256^","S2CONFIG (S2 Configuration Software)")</f>
        <v>S2CONFIG (S2 Configuration Software)</v>
      </c>
      <c r="B1011" s="4" t="s">
        <v>8585</v>
      </c>
      <c r="C1011" s="8" t="s">
        <v>5</v>
      </c>
      <c r="D1011" s="11" t="s">
        <v>8586</v>
      </c>
    </row>
    <row r="1012" spans="1:4" ht="30">
      <c r="A1012" s="5" t="str">
        <f>HYPERLINK("https://www.oit.va.gov/Services/TRM/ToolPage.aspx?tid=15423^","AVI-SPL Symphony")</f>
        <v>AVI-SPL Symphony</v>
      </c>
      <c r="B1012" s="4" t="s">
        <v>3804</v>
      </c>
      <c r="C1012" s="8" t="s">
        <v>5</v>
      </c>
      <c r="D1012" s="11" t="s">
        <v>2453</v>
      </c>
    </row>
    <row r="1013" spans="1:4" ht="30">
      <c r="A1013" s="5" t="str">
        <f>HYPERLINK("https://www.oit.va.gov/Services/TRM/ToolPage.aspx?tid=8129^","Universal Desktop Ruler")</f>
        <v>Universal Desktop Ruler</v>
      </c>
      <c r="B1013" s="4" t="s">
        <v>1218</v>
      </c>
      <c r="C1013" s="8" t="s">
        <v>5</v>
      </c>
      <c r="D1013" s="11" t="s">
        <v>324</v>
      </c>
    </row>
    <row r="1014" spans="1:4" ht="30">
      <c r="A1014" s="5" t="str">
        <f>HYPERLINK("https://www.oit.va.gov/Services/TRM/ToolPage.aspx?tid=13620^","XM Connect")</f>
        <v>XM Connect</v>
      </c>
      <c r="B1014" s="4" t="s">
        <v>8962</v>
      </c>
      <c r="C1014" s="8" t="s">
        <v>5</v>
      </c>
      <c r="D1014" s="11" t="s">
        <v>7598</v>
      </c>
    </row>
    <row r="1015" spans="1:4" ht="30">
      <c r="A1015" s="5" t="str">
        <f>HYPERLINK("https://www.oit.va.gov/Services/TRM/ToolPage.aspx?tid=6268^","JPEG 2000 Software Development Kit (SDK)")</f>
        <v>JPEG 2000 Software Development Kit (SDK)</v>
      </c>
      <c r="B1015" s="4" t="s">
        <v>4319</v>
      </c>
      <c r="C1015" s="8" t="s">
        <v>5</v>
      </c>
      <c r="D1015" s="11" t="s">
        <v>4320</v>
      </c>
    </row>
    <row r="1016" spans="1:4" ht="30">
      <c r="A1016" s="5" t="str">
        <f>HYPERLINK("https://www.oit.va.gov/Services/TRM/ToolPage.aspx?tid=9456^","InterGuard")</f>
        <v>InterGuard</v>
      </c>
      <c r="B1016" s="4" t="s">
        <v>3338</v>
      </c>
      <c r="C1016" s="8" t="s">
        <v>5</v>
      </c>
      <c r="D1016" s="11" t="s">
        <v>3339</v>
      </c>
    </row>
    <row r="1017" spans="1:4" ht="30">
      <c r="A1017" s="5" t="str">
        <f>HYPERLINK("https://www.oit.va.gov/Services/TRM/ToolPage.aspx?tid=16664^","AweSun")</f>
        <v>AweSun</v>
      </c>
      <c r="B1017" s="4" t="s">
        <v>7524</v>
      </c>
      <c r="C1017" s="8" t="s">
        <v>5</v>
      </c>
      <c r="D1017" s="11" t="s">
        <v>7525</v>
      </c>
    </row>
    <row r="1018" spans="1:4" ht="30">
      <c r="A1018" s="5" t="str">
        <f>HYPERLINK("https://www.oit.va.gov/Services/TRM/ToolPage.aspx?tid=13387^","AxCrypt")</f>
        <v>AxCrypt</v>
      </c>
      <c r="B1018" s="4" t="s">
        <v>7526</v>
      </c>
      <c r="C1018" s="8" t="s">
        <v>5</v>
      </c>
      <c r="D1018" s="11" t="s">
        <v>7363</v>
      </c>
    </row>
    <row r="1019" spans="1:4" ht="30">
      <c r="A1019" s="5" t="str">
        <f>HYPERLINK("https://www.oit.va.gov/Services/TRM/ToolPage.aspx?tid=8197^","AxioWorks Structured Query (SQ) List")</f>
        <v>AxioWorks Structured Query (SQ) List</v>
      </c>
      <c r="B1019" s="4" t="s">
        <v>6315</v>
      </c>
      <c r="C1019" s="8" t="s">
        <v>5</v>
      </c>
      <c r="D1019" s="11" t="s">
        <v>2427</v>
      </c>
    </row>
    <row r="1020" spans="1:4" ht="30">
      <c r="A1020" s="5" t="str">
        <f>HYPERLINK("https://www.oit.va.gov/Services/TRM/ToolPage.aspx?tid=13608^","Patient Analysis &amp; Tracking System (PATS)")</f>
        <v>Patient Analysis &amp; Tracking System (PATS)</v>
      </c>
      <c r="B1020" s="4" t="s">
        <v>5417</v>
      </c>
      <c r="C1020" s="8" t="s">
        <v>5</v>
      </c>
      <c r="D1020" s="11" t="s">
        <v>5418</v>
      </c>
    </row>
    <row r="1021" spans="1:4" ht="30">
      <c r="A1021" s="5" t="str">
        <f>HYPERLINK("https://www.oit.va.gov/Services/TRM/ToolPage.aspx?tid=15619^","Axis Device Manager")</f>
        <v>Axis Device Manager</v>
      </c>
      <c r="B1021" s="4" t="s">
        <v>3807</v>
      </c>
      <c r="C1021" s="8" t="s">
        <v>5</v>
      </c>
      <c r="D1021" s="11" t="s">
        <v>3808</v>
      </c>
    </row>
    <row r="1022" spans="1:4" ht="30">
      <c r="A1022" s="5" t="str">
        <f>HYPERLINK("https://www.oit.va.gov/Services/TRM/ToolPage.aspx?tid=12895^","Axis Companion Video Management Software")</f>
        <v>Axis Companion Video Management Software</v>
      </c>
      <c r="B1022" s="4" t="s">
        <v>3807</v>
      </c>
      <c r="C1022" s="8" t="s">
        <v>5</v>
      </c>
      <c r="D1022" s="11" t="s">
        <v>2565</v>
      </c>
    </row>
    <row r="1023" spans="1:4" ht="30">
      <c r="A1023" s="5" t="str">
        <f>HYPERLINK("https://www.oit.va.gov/Services/TRM/ToolPage.aspx?tid=10995^","Axis Media Control (AMC)")</f>
        <v>Axis Media Control (AMC)</v>
      </c>
      <c r="B1023" s="4" t="s">
        <v>3807</v>
      </c>
      <c r="C1023" s="8" t="s">
        <v>5</v>
      </c>
      <c r="D1023" s="11" t="s">
        <v>6317</v>
      </c>
    </row>
    <row r="1024" spans="1:4" ht="30">
      <c r="A1024" s="5" t="str">
        <f>HYPERLINK("https://www.oit.va.gov/Services/TRM/ToolPage.aspx?tid=13194^","IP Utility")</f>
        <v>IP Utility</v>
      </c>
      <c r="B1024" s="4" t="s">
        <v>3807</v>
      </c>
      <c r="C1024" s="8" t="s">
        <v>5</v>
      </c>
      <c r="D1024" s="11" t="s">
        <v>2121</v>
      </c>
    </row>
    <row r="1025" spans="1:4" ht="30">
      <c r="A1025" s="5" t="str">
        <f>HYPERLINK("https://www.oit.va.gov/Services/TRM/ToolPage.aspx?tid=8382^","AXIS Matroska File Splitter")</f>
        <v>AXIS Matroska File Splitter</v>
      </c>
      <c r="B1025" s="4" t="s">
        <v>3807</v>
      </c>
      <c r="C1025" s="8" t="s">
        <v>5</v>
      </c>
      <c r="D1025" s="11" t="s">
        <v>2427</v>
      </c>
    </row>
    <row r="1026" spans="1:4" ht="30">
      <c r="A1026" s="5" t="str">
        <f>HYPERLINK("https://www.oit.va.gov/Services/TRM/ToolPage.aspx?tid=13486^","Camera Management")</f>
        <v>Camera Management</v>
      </c>
      <c r="B1026" s="4" t="s">
        <v>3807</v>
      </c>
      <c r="C1026" s="8" t="s">
        <v>5</v>
      </c>
      <c r="D1026" s="11" t="s">
        <v>5282</v>
      </c>
    </row>
    <row r="1027" spans="1:4" ht="30">
      <c r="A1027" s="5" t="str">
        <f>HYPERLINK("https://www.oit.va.gov/Services/TRM/ToolPage.aspx?tid=13307^","ThinWizard")</f>
        <v>ThinWizard</v>
      </c>
      <c r="B1027" s="4" t="s">
        <v>3807</v>
      </c>
      <c r="C1027" s="8" t="s">
        <v>5</v>
      </c>
      <c r="D1027" s="11" t="s">
        <v>3569</v>
      </c>
    </row>
    <row r="1028" spans="1:4" ht="30">
      <c r="A1028" s="5" t="str">
        <f>HYPERLINK("https://www.oit.va.gov/Services/TRM/ToolPage.aspx?tid=14917^","Colorbrewer (Cbrewer)")</f>
        <v>Colorbrewer (Cbrewer)</v>
      </c>
      <c r="B1028" s="4" t="s">
        <v>954</v>
      </c>
      <c r="C1028" s="8" t="s">
        <v>5</v>
      </c>
      <c r="D1028" s="11" t="s">
        <v>798</v>
      </c>
    </row>
    <row r="1029" spans="1:4" ht="30">
      <c r="A1029" s="5" t="str">
        <f>HYPERLINK("https://www.oit.va.gov/Services/TRM/ToolPage.aspx?tid=16217^","Axon Evidence Upload XT")</f>
        <v>Axon Evidence Upload XT</v>
      </c>
      <c r="B1029" s="4" t="s">
        <v>1340</v>
      </c>
      <c r="C1029" s="8" t="s">
        <v>5</v>
      </c>
      <c r="D1029" s="11" t="s">
        <v>1341</v>
      </c>
    </row>
    <row r="1030" spans="1:4" ht="30">
      <c r="A1030" s="5" t="str">
        <f>HYPERLINK("https://www.oit.va.gov/Services/TRM/ToolPage.aspx?tid=16215^","AXON Fleet Dashboard")</f>
        <v>AXON Fleet Dashboard</v>
      </c>
      <c r="B1030" s="4" t="s">
        <v>1340</v>
      </c>
      <c r="C1030" s="8" t="s">
        <v>5</v>
      </c>
      <c r="D1030" s="11" t="s">
        <v>1342</v>
      </c>
    </row>
    <row r="1031" spans="1:4" ht="30">
      <c r="A1031" s="5" t="str">
        <f>HYPERLINK("https://www.oit.va.gov/Services/TRM/ToolPage.aspx?tid=16218^","Axon View XL Standalone Mode")</f>
        <v>Axon View XL Standalone Mode</v>
      </c>
      <c r="B1031" s="4" t="s">
        <v>1340</v>
      </c>
      <c r="C1031" s="8" t="s">
        <v>5</v>
      </c>
      <c r="D1031" s="11" t="s">
        <v>1343</v>
      </c>
    </row>
    <row r="1032" spans="1:4" ht="30">
      <c r="A1032" s="5" t="str">
        <f>HYPERLINK("https://www.oit.va.gov/Services/TRM/ToolPage.aspx?tid=13867^","Lookeen")</f>
        <v>Lookeen</v>
      </c>
      <c r="B1032" s="4" t="s">
        <v>8198</v>
      </c>
      <c r="C1032" s="8" t="s">
        <v>5</v>
      </c>
      <c r="D1032" s="11" t="s">
        <v>8199</v>
      </c>
    </row>
    <row r="1033" spans="1:4" ht="30">
      <c r="A1033" s="5" t="str">
        <f>HYPERLINK("https://www.oit.va.gov/Services/TRM/ToolPage.aspx?tid=13886^","GitKraken")</f>
        <v>GitKraken</v>
      </c>
      <c r="B1033" s="4" t="s">
        <v>4186</v>
      </c>
      <c r="C1033" s="8" t="s">
        <v>5</v>
      </c>
      <c r="D1033" s="11" t="s">
        <v>2581</v>
      </c>
    </row>
    <row r="1034" spans="1:4" ht="30">
      <c r="A1034" s="5" t="str">
        <f>HYPERLINK("https://www.oit.va.gov/Services/TRM/ToolPage.aspx?tid=6891^","Axure Rapid Prototyping (RP)")</f>
        <v>Axure Rapid Prototyping (RP)</v>
      </c>
      <c r="B1034" s="4" t="s">
        <v>2401</v>
      </c>
      <c r="C1034" s="8" t="s">
        <v>5</v>
      </c>
      <c r="D1034" s="11" t="s">
        <v>2402</v>
      </c>
    </row>
    <row r="1035" spans="1:4" ht="30">
      <c r="A1035" s="5" t="str">
        <f>HYPERLINK("https://www.oit.va.gov/Services/TRM/ToolPage.aspx?tid=5943^","Desktop Validator")</f>
        <v>Desktop Validator</v>
      </c>
      <c r="B1035" s="4" t="s">
        <v>4012</v>
      </c>
      <c r="C1035" s="8" t="s">
        <v>5</v>
      </c>
      <c r="D1035" s="11" t="s">
        <v>4000</v>
      </c>
    </row>
    <row r="1036" spans="1:4" ht="30">
      <c r="A1036" s="5" t="str">
        <f>HYPERLINK("https://www.oit.va.gov/Services/TRM/ToolPage.aspx?tid=7924^","Nutritionist Pro Diet Analysis")</f>
        <v>Nutritionist Pro Diet Analysis</v>
      </c>
      <c r="B1036" s="4" t="s">
        <v>5975</v>
      </c>
      <c r="C1036" s="8" t="s">
        <v>5</v>
      </c>
      <c r="D1036" s="11" t="s">
        <v>5976</v>
      </c>
    </row>
    <row r="1037" spans="1:4" ht="30">
      <c r="A1037" s="5" t="str">
        <f>HYPERLINK("https://www.oit.va.gov/Services/TRM/ToolPage.aspx?tid=7694^","Aycan Workstation")</f>
        <v>Aycan Workstation</v>
      </c>
      <c r="B1037" s="4" t="s">
        <v>7528</v>
      </c>
      <c r="C1037" s="8" t="s">
        <v>5</v>
      </c>
      <c r="D1037" s="11" t="s">
        <v>7529</v>
      </c>
    </row>
    <row r="1038" spans="1:4" ht="30">
      <c r="A1038" s="5" t="str">
        <f>HYPERLINK("https://www.oit.va.gov/Services/TRM/ToolPage.aspx?tid=11650^","KubeMonkey")</f>
        <v>KubeMonkey</v>
      </c>
      <c r="B1038" s="4" t="s">
        <v>4338</v>
      </c>
      <c r="C1038" s="8" t="s">
        <v>5</v>
      </c>
      <c r="D1038" s="11" t="s">
        <v>3347</v>
      </c>
    </row>
    <row r="1039" spans="1:4" ht="30">
      <c r="A1039" s="5" t="str">
        <f>HYPERLINK("https://www.oit.va.gov/Services/TRM/ToolPage.aspx?tid=14889^","Azul Platform Core")</f>
        <v>Azul Platform Core</v>
      </c>
      <c r="B1039" s="4" t="s">
        <v>3810</v>
      </c>
      <c r="C1039" s="8" t="s">
        <v>5</v>
      </c>
      <c r="D1039" s="11" t="s">
        <v>3811</v>
      </c>
    </row>
    <row r="1040" spans="1:4" ht="30">
      <c r="A1040" s="5" t="str">
        <f>HYPERLINK("https://www.oit.va.gov/Services/TRM/ToolPage.aspx?tid=15816^","Azure Imaging System")</f>
        <v>Azure Imaging System</v>
      </c>
      <c r="B1040" s="4" t="s">
        <v>3813</v>
      </c>
      <c r="C1040" s="8" t="s">
        <v>5</v>
      </c>
      <c r="D1040" s="11" t="s">
        <v>1337</v>
      </c>
    </row>
    <row r="1041" spans="1:4" ht="30">
      <c r="A1041" s="5" t="str">
        <f>HYPERLINK("https://www.oit.va.gov/Services/TRM/ToolPage.aspx?tid=15856^","AzureSpot Pro")</f>
        <v>AzureSpot Pro</v>
      </c>
      <c r="B1041" s="4" t="s">
        <v>3813</v>
      </c>
      <c r="C1041" s="8" t="s">
        <v>5</v>
      </c>
      <c r="D1041" s="11" t="s">
        <v>3815</v>
      </c>
    </row>
    <row r="1042" spans="1:4" ht="30">
      <c r="A1042" s="5" t="str">
        <f>HYPERLINK("https://www.oit.va.gov/Services/TRM/ToolPage.aspx?tid=13351^","Azz CardFile")</f>
        <v>Azz CardFile</v>
      </c>
      <c r="B1042" s="4" t="s">
        <v>6318</v>
      </c>
      <c r="C1042" s="8" t="s">
        <v>5</v>
      </c>
      <c r="D1042" s="11" t="s">
        <v>6319</v>
      </c>
    </row>
    <row r="1043" spans="1:4" ht="30">
      <c r="A1043" s="5" t="str">
        <f>HYPERLINK("https://www.oit.va.gov/Services/TRM/ToolPage.aspx?tid=14903^","Bucher + Suter (B + S) Connects for Salesforce")</f>
        <v>Bucher + Suter (B + S) Connects for Salesforce</v>
      </c>
      <c r="B1043" s="4" t="s">
        <v>1387</v>
      </c>
      <c r="C1043" s="8" t="s">
        <v>5</v>
      </c>
      <c r="D1043" s="11" t="s">
        <v>1388</v>
      </c>
    </row>
    <row r="1044" spans="1:4" ht="30">
      <c r="A1044" s="5" t="str">
        <f>HYPERLINK("https://www.oit.va.gov/Services/TRM/ToolPage.aspx?tid=14749^","B. Braun Space Online Suite Rx")</f>
        <v>B. Braun Space Online Suite Rx</v>
      </c>
      <c r="B1044" s="4" t="s">
        <v>83</v>
      </c>
      <c r="C1044" s="8" t="s">
        <v>5</v>
      </c>
      <c r="D1044" s="11" t="s">
        <v>84</v>
      </c>
    </row>
    <row r="1045" spans="1:4" ht="30">
      <c r="A1045" s="5" t="str">
        <f>HYPERLINK("https://www.oit.va.gov/Services/TRM/ToolPage.aspx?tid=14699^","B. Braun Space Hibased Rx")</f>
        <v>B. Braun Space Hibased Rx</v>
      </c>
      <c r="B1045" s="4" t="s">
        <v>83</v>
      </c>
      <c r="C1045" s="8" t="s">
        <v>5</v>
      </c>
      <c r="D1045" s="11" t="s">
        <v>142</v>
      </c>
    </row>
    <row r="1046" spans="1:4" ht="30">
      <c r="A1046" s="5" t="str">
        <f>HYPERLINK("https://www.oit.va.gov/Services/TRM/ToolPage.aspx?tid=11007^","AQUAboss Vision")</f>
        <v>AQUAboss Vision</v>
      </c>
      <c r="B1046" s="4" t="s">
        <v>83</v>
      </c>
      <c r="C1046" s="8" t="s">
        <v>5</v>
      </c>
      <c r="D1046" s="11" t="s">
        <v>1447</v>
      </c>
    </row>
    <row r="1047" spans="1:4" ht="30">
      <c r="A1047" s="5" t="str">
        <f>HYPERLINK("https://www.oit.va.gov/Services/TRM/ToolPage.aspx?tid=15950^","Drug List Editor Space")</f>
        <v>Drug List Editor Space</v>
      </c>
      <c r="B1047" s="4" t="s">
        <v>83</v>
      </c>
      <c r="C1047" s="8" t="s">
        <v>5</v>
      </c>
      <c r="D1047" s="11" t="s">
        <v>3267</v>
      </c>
    </row>
    <row r="1048" spans="1:4" ht="30">
      <c r="A1048" s="5" t="str">
        <f>HYPERLINK("https://www.oit.va.gov/Services/TRM/ToolPage.aspx?tid=10178^","Babel-Core")</f>
        <v>Babel-Core</v>
      </c>
      <c r="B1048" s="4" t="s">
        <v>7530</v>
      </c>
      <c r="C1048" s="8" t="s">
        <v>5</v>
      </c>
      <c r="D1048" s="11" t="s">
        <v>84</v>
      </c>
    </row>
    <row r="1049" spans="1:4" ht="30">
      <c r="A1049" s="5" t="str">
        <f>HYPERLINK("https://www.oit.va.gov/Services/TRM/ToolPage.aspx?tid=10179^","Babel-Runtime")</f>
        <v>Babel-Runtime</v>
      </c>
      <c r="B1049" s="4" t="s">
        <v>7530</v>
      </c>
      <c r="C1049" s="8" t="s">
        <v>5</v>
      </c>
      <c r="D1049" s="11" t="s">
        <v>84</v>
      </c>
    </row>
    <row r="1050" spans="1:4" ht="30">
      <c r="A1050" s="5" t="str">
        <f>HYPERLINK("https://www.oit.va.gov/Services/TRM/ToolPage.aspx?tid=10999^","Fyrite User Software")</f>
        <v>Fyrite User Software</v>
      </c>
      <c r="B1050" s="4" t="s">
        <v>6641</v>
      </c>
      <c r="C1050" s="8" t="s">
        <v>5</v>
      </c>
      <c r="D1050" s="11" t="s">
        <v>3384</v>
      </c>
    </row>
    <row r="1051" spans="1:4" ht="30">
      <c r="A1051" s="5" t="str">
        <f>HYPERLINK("https://www.oit.va.gov/Services/TRM/ToolPage.aspx?tid=7897^","Bacula Enterprise")</f>
        <v>Bacula Enterprise</v>
      </c>
      <c r="B1051" s="4" t="s">
        <v>6321</v>
      </c>
      <c r="C1051" s="8" t="s">
        <v>5</v>
      </c>
      <c r="D1051" s="11" t="s">
        <v>6322</v>
      </c>
    </row>
    <row r="1052" spans="1:4" ht="30">
      <c r="A1052" s="5" t="str">
        <f>HYPERLINK("https://www.oit.va.gov/Services/TRM/ToolPage.aspx?tid=14195^","Badboy")</f>
        <v>Badboy</v>
      </c>
      <c r="B1052" s="4" t="s">
        <v>5672</v>
      </c>
      <c r="C1052" s="8" t="s">
        <v>5</v>
      </c>
      <c r="D1052" s="11" t="s">
        <v>5673</v>
      </c>
    </row>
    <row r="1053" spans="1:4" ht="30">
      <c r="A1053" s="5" t="str">
        <f>HYPERLINK("https://www.oit.va.gov/Services/TRM/ToolPage.aspx?tid=16691^","Evolis Badge Studio")</f>
        <v>Evolis Badge Studio</v>
      </c>
      <c r="B1053" s="4" t="s">
        <v>4108</v>
      </c>
      <c r="C1053" s="8" t="s">
        <v>5</v>
      </c>
      <c r="D1053" s="11" t="s">
        <v>3748</v>
      </c>
    </row>
    <row r="1054" spans="1:4" ht="30">
      <c r="A1054" s="5" t="str">
        <f>HYPERLINK("https://www.oit.va.gov/Services/TRM/ToolPage.aspx?tid=16323^","Balance Tracking Systems (BTrackS) Assess Balance")</f>
        <v>Balance Tracking Systems (BTrackS) Assess Balance</v>
      </c>
      <c r="B1054" s="4" t="s">
        <v>1351</v>
      </c>
      <c r="C1054" s="8" t="s">
        <v>5</v>
      </c>
      <c r="D1054" s="11" t="s">
        <v>1352</v>
      </c>
    </row>
    <row r="1055" spans="1:4" ht="30">
      <c r="A1055" s="5" t="str">
        <f>HYPERLINK("https://www.oit.va.gov/Services/TRM/ToolPage.aspx?tid=7749^","Balsamiq Mockups")</f>
        <v>Balsamiq Mockups</v>
      </c>
      <c r="B1055" s="4" t="s">
        <v>2404</v>
      </c>
      <c r="C1055" s="8" t="s">
        <v>5</v>
      </c>
      <c r="D1055" s="11" t="s">
        <v>2405</v>
      </c>
    </row>
    <row r="1056" spans="1:4" ht="30">
      <c r="A1056" s="5" t="str">
        <f>HYPERLINK("https://www.oit.va.gov/Services/TRM/ToolPage.aspx?tid=15283^","DermoSight Software")</f>
        <v>DermoSight Software</v>
      </c>
      <c r="B1056" s="4" t="s">
        <v>5750</v>
      </c>
      <c r="C1056" s="8" t="s">
        <v>5</v>
      </c>
      <c r="D1056" s="11" t="s">
        <v>5751</v>
      </c>
    </row>
    <row r="1057" spans="1:4" ht="30">
      <c r="A1057" s="5" t="str">
        <f>HYPERLINK("https://www.oit.va.gov/Services/TRM/ToolPage.aspx?tid=7096^","Project Management (PM) Central")</f>
        <v>Project Management (PM) Central</v>
      </c>
      <c r="B1057" s="4" t="s">
        <v>7034</v>
      </c>
      <c r="C1057" s="8" t="s">
        <v>5</v>
      </c>
      <c r="D1057" s="11" t="s">
        <v>1161</v>
      </c>
    </row>
    <row r="1058" spans="1:4" ht="30">
      <c r="A1058" s="5" t="str">
        <f>HYPERLINK("https://www.oit.va.gov/Services/TRM/ToolPage.aspx?tid=6918^","Password Management Toolkit")</f>
        <v>Password Management Toolkit</v>
      </c>
      <c r="B1058" s="4" t="s">
        <v>7034</v>
      </c>
      <c r="C1058" s="8" t="s">
        <v>5</v>
      </c>
      <c r="D1058" s="11" t="s">
        <v>8397</v>
      </c>
    </row>
    <row r="1059" spans="1:4" ht="30">
      <c r="A1059" s="5" t="str">
        <f>HYPERLINK("https://www.oit.va.gov/Services/TRM/ToolPage.aspx?tid=16482^","Bambu Studio")</f>
        <v>Bambu Studio</v>
      </c>
      <c r="B1059" s="4" t="s">
        <v>5068</v>
      </c>
      <c r="C1059" s="8" t="s">
        <v>5</v>
      </c>
      <c r="D1059" s="11" t="s">
        <v>5069</v>
      </c>
    </row>
    <row r="1060" spans="1:4" ht="30">
      <c r="A1060" s="5" t="str">
        <f>HYPERLINK("https://www.oit.va.gov/Services/TRM/ToolPage.aspx?tid=13562^","Bandicam")</f>
        <v>Bandicam</v>
      </c>
      <c r="B1060" s="4" t="s">
        <v>7534</v>
      </c>
      <c r="C1060" s="8" t="s">
        <v>5</v>
      </c>
      <c r="D1060" s="11" t="s">
        <v>7417</v>
      </c>
    </row>
    <row r="1061" spans="1:4" ht="30">
      <c r="A1061" s="5" t="str">
        <f>HYPERLINK("https://www.oit.va.gov/Services/TRM/ToolPage.aspx?tid=13485^","Cakewalk")</f>
        <v>Cakewalk</v>
      </c>
      <c r="B1061" s="4" t="s">
        <v>7597</v>
      </c>
      <c r="C1061" s="8" t="s">
        <v>5</v>
      </c>
      <c r="D1061" s="11" t="s">
        <v>7598</v>
      </c>
    </row>
    <row r="1062" spans="1:4" ht="30">
      <c r="A1062" s="5" t="str">
        <f>HYPERLINK("https://www.oit.va.gov/Services/TRM/ToolPage.aspx?tid=10117^","Full Monte")</f>
        <v>Full Monte</v>
      </c>
      <c r="B1062" s="4" t="s">
        <v>5206</v>
      </c>
      <c r="C1062" s="8" t="s">
        <v>5</v>
      </c>
      <c r="D1062" s="11" t="s">
        <v>3212</v>
      </c>
    </row>
    <row r="1063" spans="1:4" ht="30">
      <c r="A1063" s="5" t="str">
        <f>HYPERLINK("https://www.oit.va.gov/Services/TRM/ToolPage.aspx?tid=15121^","ClickShare Extension Pack")</f>
        <v>ClickShare Extension Pack</v>
      </c>
      <c r="B1063" s="4" t="s">
        <v>626</v>
      </c>
      <c r="C1063" s="8" t="s">
        <v>5</v>
      </c>
      <c r="D1063" s="11" t="s">
        <v>627</v>
      </c>
    </row>
    <row r="1064" spans="1:4" ht="30">
      <c r="A1064" s="5" t="str">
        <f>HYPERLINK("https://www.oit.va.gov/Services/TRM/ToolPage.aspx?tid=10873^","MediCal QAWeb Agent")</f>
        <v>MediCal QAWeb Agent</v>
      </c>
      <c r="B1064" s="4" t="s">
        <v>626</v>
      </c>
      <c r="C1064" s="8" t="s">
        <v>5</v>
      </c>
      <c r="D1064" s="11" t="s">
        <v>2757</v>
      </c>
    </row>
    <row r="1065" spans="1:4" ht="30">
      <c r="A1065" s="5" t="str">
        <f>HYPERLINK("https://www.oit.va.gov/Services/TRM/ToolPage.aspx?tid=16641^","Intuitive Workflow Tools")</f>
        <v>Intuitive Workflow Tools</v>
      </c>
      <c r="B1065" s="4" t="s">
        <v>626</v>
      </c>
      <c r="C1065" s="8" t="s">
        <v>5</v>
      </c>
      <c r="D1065" s="11" t="s">
        <v>3344</v>
      </c>
    </row>
    <row r="1066" spans="1:4" ht="30">
      <c r="A1066" s="5" t="str">
        <f>HYPERLINK("https://www.oit.va.gov/Services/TRM/ToolPage.aspx?tid=10872^","MediCal QAWeb Relay")</f>
        <v>MediCal QAWeb Relay</v>
      </c>
      <c r="B1066" s="4" t="s">
        <v>626</v>
      </c>
      <c r="C1066" s="8" t="s">
        <v>5</v>
      </c>
      <c r="D1066" s="11" t="s">
        <v>2757</v>
      </c>
    </row>
    <row r="1067" spans="1:4" ht="30">
      <c r="A1067" s="5" t="str">
        <f>HYPERLINK("https://www.oit.va.gov/Services/TRM/ToolPage.aspx?tid=12809^","MirrorOp")</f>
        <v>MirrorOp</v>
      </c>
      <c r="B1067" s="4" t="s">
        <v>626</v>
      </c>
      <c r="C1067" s="8" t="s">
        <v>5</v>
      </c>
      <c r="D1067" s="11" t="s">
        <v>4435</v>
      </c>
    </row>
    <row r="1068" spans="1:4" ht="30">
      <c r="A1068" s="5" t="str">
        <f>HYPERLINK("https://www.oit.va.gov/Services/TRM/ToolPage.aspx?tid=11484^","ClickShare Launcher")</f>
        <v>ClickShare Launcher</v>
      </c>
      <c r="B1068" s="4" t="s">
        <v>626</v>
      </c>
      <c r="C1068" s="8" t="s">
        <v>5</v>
      </c>
      <c r="D1068" s="11" t="s">
        <v>6421</v>
      </c>
    </row>
    <row r="1069" spans="1:4" ht="30">
      <c r="A1069" s="5" t="str">
        <f>HYPERLINK("https://www.oit.va.gov/Services/TRM/ToolPage.aspx?tid=15629^","Carnation Ambulatory Monitor (CAM)")</f>
        <v>Carnation Ambulatory Monitor (CAM)</v>
      </c>
      <c r="B1069" s="4" t="s">
        <v>1406</v>
      </c>
      <c r="C1069" s="8" t="s">
        <v>5</v>
      </c>
      <c r="D1069" s="11" t="s">
        <v>1407</v>
      </c>
    </row>
    <row r="1070" spans="1:4" ht="30">
      <c r="A1070" s="5" t="str">
        <f>HYPERLINK("https://www.oit.va.gov/Services/TRM/ToolPage.aspx?tid=13805^","GanttProject")</f>
        <v>GanttProject</v>
      </c>
      <c r="B1070" s="4" t="s">
        <v>1406</v>
      </c>
      <c r="C1070" s="8" t="s">
        <v>5</v>
      </c>
      <c r="D1070" s="11" t="s">
        <v>5820</v>
      </c>
    </row>
    <row r="1071" spans="1:4" ht="30">
      <c r="A1071" s="5" t="str">
        <f>HYPERLINK("https://www.oit.va.gov/Services/TRM/ToolPage.aspx?tid=13682^","BBEdit")</f>
        <v>BBEdit</v>
      </c>
      <c r="B1071" s="4" t="s">
        <v>3169</v>
      </c>
      <c r="C1071" s="8" t="s">
        <v>5</v>
      </c>
      <c r="D1071" s="11" t="s">
        <v>3170</v>
      </c>
    </row>
    <row r="1072" spans="1:4" ht="30">
      <c r="A1072" s="5" t="str">
        <f>HYPERLINK("https://www.oit.va.gov/Services/TRM/ToolPage.aspx?tid=13062^","TextWrangler")</f>
        <v>TextWrangler</v>
      </c>
      <c r="B1072" s="4" t="s">
        <v>3169</v>
      </c>
      <c r="C1072" s="8" t="s">
        <v>5</v>
      </c>
      <c r="D1072" s="11" t="s">
        <v>3575</v>
      </c>
    </row>
    <row r="1073" spans="1:4" ht="30">
      <c r="A1073" s="5" t="str">
        <f>HYPERLINK("https://www.oit.va.gov/Services/TRM/ToolPage.aspx?tid=16835^","BareGrep")</f>
        <v>BareGrep</v>
      </c>
      <c r="B1073" s="4" t="s">
        <v>6324</v>
      </c>
      <c r="C1073" s="8" t="s">
        <v>5</v>
      </c>
      <c r="D1073" s="11" t="s">
        <v>4589</v>
      </c>
    </row>
    <row r="1074" spans="1:4" ht="30">
      <c r="A1074" s="5" t="str">
        <f>HYPERLINK("https://www.oit.va.gov/Services/TRM/ToolPage.aspx?tid=16834^","BareTail")</f>
        <v>BareTail</v>
      </c>
      <c r="B1074" s="4" t="s">
        <v>6324</v>
      </c>
      <c r="C1074" s="8" t="s">
        <v>5</v>
      </c>
      <c r="D1074" s="11" t="s">
        <v>6325</v>
      </c>
    </row>
    <row r="1075" spans="1:4" ht="30">
      <c r="A1075" s="5" t="str">
        <f>HYPERLINK("https://www.oit.va.gov/Services/TRM/ToolPage.aspx?tid=13328^","NOOK for Personal Computer (PC)")</f>
        <v>NOOK for Personal Computer (PC)</v>
      </c>
      <c r="B1075" s="4" t="s">
        <v>2289</v>
      </c>
      <c r="C1075" s="8" t="s">
        <v>5</v>
      </c>
      <c r="D1075" s="11" t="s">
        <v>2290</v>
      </c>
    </row>
    <row r="1076" spans="1:4" ht="30">
      <c r="A1076" s="5" t="str">
        <f>HYPERLINK("https://www.oit.va.gov/Services/TRM/ToolPage.aspx?tid=13634^","NOOK Study")</f>
        <v>NOOK Study</v>
      </c>
      <c r="B1076" s="4" t="s">
        <v>2289</v>
      </c>
      <c r="C1076" s="8" t="s">
        <v>5</v>
      </c>
      <c r="D1076" s="11" t="s">
        <v>3416</v>
      </c>
    </row>
    <row r="1077" spans="1:4" ht="30">
      <c r="A1077" s="5" t="str">
        <f>HYPERLINK("https://www.oit.va.gov/Services/TRM/ToolPage.aspx?tid=6099^","PE Builder")</f>
        <v>PE Builder</v>
      </c>
      <c r="B1077" s="4" t="s">
        <v>8413</v>
      </c>
      <c r="C1077" s="8" t="s">
        <v>5</v>
      </c>
      <c r="D1077" s="11" t="s">
        <v>8414</v>
      </c>
    </row>
    <row r="1078" spans="1:4" ht="30">
      <c r="A1078" s="5" t="str">
        <f>HYPERLINK("https://www.oit.va.gov/Services/TRM/ToolPage.aspx?tid=11542^","Macro Recorder")</f>
        <v>Macro Recorder</v>
      </c>
      <c r="B1078" s="4" t="s">
        <v>2744</v>
      </c>
      <c r="C1078" s="8" t="s">
        <v>5</v>
      </c>
      <c r="D1078" s="11" t="s">
        <v>2745</v>
      </c>
    </row>
    <row r="1079" spans="1:4" ht="30">
      <c r="A1079" s="5" t="str">
        <f>HYPERLINK("https://www.oit.va.gov/Services/TRM/ToolPage.aspx?tid=10134^","Phrase Express")</f>
        <v>Phrase Express</v>
      </c>
      <c r="B1079" s="4" t="s">
        <v>2744</v>
      </c>
      <c r="C1079" s="8" t="s">
        <v>5</v>
      </c>
      <c r="D1079" s="11" t="s">
        <v>4600</v>
      </c>
    </row>
    <row r="1080" spans="1:4" ht="30">
      <c r="A1080" s="5" t="str">
        <f>HYPERLINK("https://www.oit.va.gov/Services/TRM/ToolPage.aspx?tid=11630^","Basecamp")</f>
        <v>Basecamp</v>
      </c>
      <c r="B1080" s="4" t="s">
        <v>6327</v>
      </c>
      <c r="C1080" s="8" t="s">
        <v>5</v>
      </c>
      <c r="D1080" s="11" t="s">
        <v>6328</v>
      </c>
    </row>
    <row r="1081" spans="1:4" ht="30">
      <c r="A1081" s="5" t="str">
        <f>HYPERLINK("https://www.oit.va.gov/Services/TRM/ToolPage.aspx?tid=16519^","pylon")</f>
        <v>pylon</v>
      </c>
      <c r="B1081" s="4" t="s">
        <v>1874</v>
      </c>
      <c r="C1081" s="8" t="s">
        <v>5</v>
      </c>
      <c r="D1081" s="11" t="s">
        <v>1875</v>
      </c>
    </row>
    <row r="1082" spans="1:4" ht="30">
      <c r="A1082" s="5" t="str">
        <f>HYPERLINK("https://www.oit.va.gov/Services/TRM/ToolPage.aspx?tid=7979^","LinkChecker")</f>
        <v>LinkChecker</v>
      </c>
      <c r="B1082" s="4" t="s">
        <v>2738</v>
      </c>
      <c r="C1082" s="8" t="s">
        <v>5</v>
      </c>
      <c r="D1082" s="11" t="s">
        <v>2739</v>
      </c>
    </row>
    <row r="1083" spans="1:4" ht="30">
      <c r="A1083" s="5" t="str">
        <f>HYPERLINK("https://www.oit.va.gov/Services/TRM/ToolPage.aspx?tid=6697^","MIS Enterprise")</f>
        <v>MIS Enterprise</v>
      </c>
      <c r="B1083" s="4" t="s">
        <v>5354</v>
      </c>
      <c r="C1083" s="8" t="s">
        <v>5</v>
      </c>
      <c r="D1083" s="11" t="s">
        <v>5355</v>
      </c>
    </row>
    <row r="1084" spans="1:4" ht="30">
      <c r="A1084" s="5" t="str">
        <f>HYPERLINK("https://www.oit.va.gov/Services/TRM/ToolPage.aspx?tid=16441^","Dose IQ")</f>
        <v>Dose IQ</v>
      </c>
      <c r="B1084" s="4" t="s">
        <v>656</v>
      </c>
      <c r="C1084" s="8" t="s">
        <v>5</v>
      </c>
      <c r="D1084" s="11" t="s">
        <v>657</v>
      </c>
    </row>
    <row r="1085" spans="1:4" ht="30">
      <c r="A1085" s="5" t="str">
        <f>HYPERLINK("https://www.oit.va.gov/Services/TRM/ToolPage.aspx?tid=7695^","Connex Central Station (CS)")</f>
        <v>Connex Central Station (CS)</v>
      </c>
      <c r="B1085" s="4" t="s">
        <v>656</v>
      </c>
      <c r="C1085" s="8" t="s">
        <v>5</v>
      </c>
      <c r="D1085" s="11" t="s">
        <v>332</v>
      </c>
    </row>
    <row r="1086" spans="1:4" ht="30">
      <c r="A1086" s="5" t="str">
        <f>HYPERLINK("https://www.oit.va.gov/Services/TRM/ToolPage.aspx?tid=8799^","BedMasterEX")</f>
        <v>BedMasterEX</v>
      </c>
      <c r="B1086" s="4" t="s">
        <v>656</v>
      </c>
      <c r="C1086" s="8" t="s">
        <v>5</v>
      </c>
      <c r="D1086" s="11" t="s">
        <v>310</v>
      </c>
    </row>
    <row r="1087" spans="1:4" ht="30">
      <c r="A1087" s="5" t="str">
        <f>HYPERLINK("https://www.oit.va.gov/Services/TRM/ToolPage.aspx?tid=15383^","Voalte Platform")</f>
        <v>Voalte Platform</v>
      </c>
      <c r="B1087" s="4" t="s">
        <v>656</v>
      </c>
      <c r="C1087" s="8" t="s">
        <v>5</v>
      </c>
      <c r="D1087" s="11" t="s">
        <v>3079</v>
      </c>
    </row>
    <row r="1088" spans="1:4" ht="30">
      <c r="A1088" s="5" t="str">
        <f>HYPERLINK("https://www.oit.va.gov/Services/TRM/ToolPage.aspx?tid=13285^","ABACUS Calculation Software")</f>
        <v>ABACUS Calculation Software</v>
      </c>
      <c r="B1088" s="4" t="s">
        <v>656</v>
      </c>
      <c r="C1088" s="8" t="s">
        <v>5</v>
      </c>
      <c r="D1088" s="11" t="s">
        <v>6221</v>
      </c>
    </row>
    <row r="1089" spans="1:4" ht="30">
      <c r="A1089" s="5" t="str">
        <f>HYPERLINK("https://www.oit.va.gov/Services/TRM/ToolPage.aspx?tid=7960^","RenalSoft")</f>
        <v>RenalSoft</v>
      </c>
      <c r="B1089" s="4" t="s">
        <v>656</v>
      </c>
      <c r="C1089" s="8" t="s">
        <v>5</v>
      </c>
      <c r="D1089" s="11" t="s">
        <v>2043</v>
      </c>
    </row>
    <row r="1090" spans="1:4" ht="30">
      <c r="A1090" s="5" t="str">
        <f>HYPERLINK("https://www.oit.va.gov/Services/TRM/ToolPage.aspx?tid=15228^","Exalis Management Tool")</f>
        <v>Exalis Management Tool</v>
      </c>
      <c r="B1090" s="4" t="s">
        <v>656</v>
      </c>
      <c r="C1090" s="8" t="s">
        <v>5</v>
      </c>
      <c r="D1090" s="11" t="s">
        <v>2118</v>
      </c>
    </row>
    <row r="1091" spans="1:4" ht="30">
      <c r="A1091" s="5" t="str">
        <f>HYPERLINK("https://www.oit.va.gov/Services/TRM/ToolPage.aspx?tid=15875^","Radimetrics")</f>
        <v>Radimetrics</v>
      </c>
      <c r="B1091" s="4" t="s">
        <v>2905</v>
      </c>
      <c r="C1091" s="8" t="s">
        <v>5</v>
      </c>
      <c r="D1091" s="11" t="s">
        <v>2906</v>
      </c>
    </row>
    <row r="1092" spans="1:4" ht="30">
      <c r="A1092" s="5" t="str">
        <f>HYPERLINK("https://www.oit.va.gov/Services/TRM/ToolPage.aspx?tid=11408^","Radimetrics Enterprise Platform")</f>
        <v>Radimetrics Enterprise Platform</v>
      </c>
      <c r="B1092" s="4" t="s">
        <v>2905</v>
      </c>
      <c r="C1092" s="8" t="s">
        <v>5</v>
      </c>
      <c r="D1092" s="11" t="s">
        <v>8528</v>
      </c>
    </row>
    <row r="1093" spans="1:4" ht="30">
      <c r="A1093" s="5" t="str">
        <f>HYPERLINK("https://www.oit.va.gov/Services/TRM/ToolPage.aspx?tid=16653^","Print Wizard (Bbraun Pinnacle Compounder Software)")</f>
        <v>Print Wizard (Bbraun Pinnacle Compounder Software)</v>
      </c>
      <c r="B1093" s="4" t="s">
        <v>1861</v>
      </c>
      <c r="C1093" s="8" t="s">
        <v>5</v>
      </c>
      <c r="D1093" s="11" t="s">
        <v>1862</v>
      </c>
    </row>
    <row r="1094" spans="1:4" ht="30">
      <c r="A1094" s="5" t="str">
        <f>HYPERLINK("https://www.oit.va.gov/Services/TRM/ToolPage.aspx?tid=10173^","BCC Architect")</f>
        <v>BCC Architect</v>
      </c>
      <c r="B1094" s="4" t="s">
        <v>3818</v>
      </c>
      <c r="C1094" s="8" t="s">
        <v>5</v>
      </c>
      <c r="D1094" s="11" t="s">
        <v>3819</v>
      </c>
    </row>
    <row r="1095" spans="1:4" ht="30">
      <c r="A1095" s="5" t="str">
        <f>HYPERLINK("https://www.oit.va.gov/Services/TRM/ToolPage.aspx?tid=15916^","BCC Bulk Mailer Business")</f>
        <v>BCC Bulk Mailer Business</v>
      </c>
      <c r="B1095" s="4" t="s">
        <v>3818</v>
      </c>
      <c r="C1095" s="8" t="s">
        <v>5</v>
      </c>
      <c r="D1095" s="11" t="s">
        <v>3820</v>
      </c>
    </row>
    <row r="1096" spans="1:4" ht="30">
      <c r="A1096" s="5" t="str">
        <f>HYPERLINK("https://www.oit.va.gov/Services/TRM/ToolPage.aspx?tid=14521^","BCC Mail Manager")</f>
        <v>BCC Mail Manager</v>
      </c>
      <c r="B1096" s="4" t="s">
        <v>3818</v>
      </c>
      <c r="C1096" s="8" t="s">
        <v>5</v>
      </c>
      <c r="D1096" s="11" t="s">
        <v>433</v>
      </c>
    </row>
    <row r="1097" spans="1:4" ht="30">
      <c r="A1097" s="5" t="str">
        <f>HYPERLINK("https://www.oit.va.gov/Services/TRM/ToolPage.aspx?tid=10099^","Bulk Mailer Small and Medium Business (SMB)")</f>
        <v>Bulk Mailer Small and Medium Business (SMB)</v>
      </c>
      <c r="B1097" s="4" t="s">
        <v>3818</v>
      </c>
      <c r="C1097" s="8" t="s">
        <v>5</v>
      </c>
      <c r="D1097" s="11" t="s">
        <v>6365</v>
      </c>
    </row>
    <row r="1098" spans="1:4" ht="30">
      <c r="A1098" s="5" t="str">
        <f>HYPERLINK("https://www.oit.va.gov/Services/TRM/ToolPage.aspx?tid=15572^","Business Computer Center (BCC) Presort")</f>
        <v>Business Computer Center (BCC) Presort</v>
      </c>
      <c r="B1098" s="4" t="s">
        <v>3818</v>
      </c>
      <c r="C1098" s="8" t="s">
        <v>5</v>
      </c>
      <c r="D1098" s="11" t="s">
        <v>6367</v>
      </c>
    </row>
    <row r="1099" spans="1:4" ht="30">
      <c r="A1099" s="5" t="str">
        <f>HYPERLINK("https://www.oit.va.gov/Services/TRM/ToolPage.aspx?tid=15302^","BCS iConnect")</f>
        <v>BCS iConnect</v>
      </c>
      <c r="B1099" s="4" t="s">
        <v>3821</v>
      </c>
      <c r="C1099" s="8" t="s">
        <v>5</v>
      </c>
      <c r="D1099" s="11" t="s">
        <v>3822</v>
      </c>
    </row>
    <row r="1100" spans="1:4" ht="30">
      <c r="A1100" s="5" t="str">
        <f>HYPERLINK("https://www.oit.va.gov/Services/TRM/ToolPage.aspx?tid=8804^","BCS Advanced Capture")</f>
        <v>BCS Advanced Capture</v>
      </c>
      <c r="B1100" s="4" t="s">
        <v>3821</v>
      </c>
      <c r="C1100" s="8" t="s">
        <v>5</v>
      </c>
      <c r="D1100" s="11" t="s">
        <v>5676</v>
      </c>
    </row>
    <row r="1101" spans="1:4" ht="30">
      <c r="A1101" s="5" t="str">
        <f>HYPERLINK("https://www.oit.va.gov/Services/TRM/ToolPage.aspx?tid=7065^","Pyxis Transfusion Verification")</f>
        <v>Pyxis Transfusion Verification</v>
      </c>
      <c r="B1101" s="4" t="s">
        <v>5455</v>
      </c>
      <c r="C1101" s="8" t="s">
        <v>5</v>
      </c>
      <c r="D1101" s="11" t="s">
        <v>5456</v>
      </c>
    </row>
    <row r="1102" spans="1:4" ht="30">
      <c r="A1102" s="5" t="str">
        <f>HYPERLINK("https://www.oit.va.gov/Services/TRM/ToolPage.aspx?tid=10818^","Alaris Viewer Suite for Infusion Viewer")</f>
        <v>Alaris Viewer Suite for Infusion Viewer</v>
      </c>
      <c r="B1102" s="4" t="s">
        <v>5455</v>
      </c>
      <c r="C1102" s="8" t="s">
        <v>5</v>
      </c>
      <c r="D1102" s="11" t="s">
        <v>7427</v>
      </c>
    </row>
    <row r="1103" spans="1:4" ht="30">
      <c r="A1103" s="5" t="str">
        <f>HYPERLINK("https://www.oit.va.gov/Services/TRM/ToolPage.aspx?tid=7062^","Pyxis Medication Administration Verification")</f>
        <v>Pyxis Medication Administration Verification</v>
      </c>
      <c r="B1103" s="4" t="s">
        <v>5455</v>
      </c>
      <c r="C1103" s="8" t="s">
        <v>5</v>
      </c>
      <c r="D1103" s="11" t="s">
        <v>8502</v>
      </c>
    </row>
    <row r="1104" spans="1:4" ht="30">
      <c r="A1104" s="5" t="str">
        <f>HYPERLINK("https://www.oit.va.gov/Services/TRM/ToolPage.aspx?tid=7063^","Pyxis Nursing Data Collection")</f>
        <v>Pyxis Nursing Data Collection</v>
      </c>
      <c r="B1104" s="4" t="s">
        <v>5455</v>
      </c>
      <c r="C1104" s="8" t="s">
        <v>5</v>
      </c>
      <c r="D1104" s="11" t="s">
        <v>8503</v>
      </c>
    </row>
    <row r="1105" spans="1:4" ht="30">
      <c r="A1105" s="5" t="str">
        <f>HYPERLINK("https://www.oit.va.gov/Services/TRM/ToolPage.aspx?tid=7064^","Pyxis Specimen Collection Verification")</f>
        <v>Pyxis Specimen Collection Verification</v>
      </c>
      <c r="B1105" s="4" t="s">
        <v>5455</v>
      </c>
      <c r="C1105" s="8" t="s">
        <v>5</v>
      </c>
      <c r="D1105" s="11" t="s">
        <v>8504</v>
      </c>
    </row>
    <row r="1106" spans="1:4" ht="30">
      <c r="A1106" s="5" t="str">
        <f>HYPERLINK("https://www.oit.va.gov/Services/TRM/ToolPage.aspx?tid=13480^","Netcam Watcher Professional")</f>
        <v>Netcam Watcher Professional</v>
      </c>
      <c r="B1106" s="4" t="s">
        <v>8321</v>
      </c>
      <c r="C1106" s="8" t="s">
        <v>5</v>
      </c>
      <c r="D1106" s="11" t="s">
        <v>8322</v>
      </c>
    </row>
    <row r="1107" spans="1:4" ht="30">
      <c r="A1107" s="5" t="str">
        <f>HYPERLINK("https://www.oit.va.gov/Services/TRM/ToolPage.aspx?tid=13446^","Scope")</f>
        <v>Scope</v>
      </c>
      <c r="B1107" s="4" t="s">
        <v>5494</v>
      </c>
      <c r="C1107" s="8" t="s">
        <v>5</v>
      </c>
      <c r="D1107" s="11" t="s">
        <v>5495</v>
      </c>
    </row>
    <row r="1108" spans="1:4" ht="30">
      <c r="A1108" s="5" t="str">
        <f>HYPERLINK("https://www.oit.va.gov/Services/TRM/ToolPage.aspx?tid=13329^","TwinCat 3")</f>
        <v>TwinCat 3</v>
      </c>
      <c r="B1108" s="4" t="s">
        <v>5494</v>
      </c>
      <c r="C1108" s="8" t="s">
        <v>5</v>
      </c>
      <c r="D1108" s="11" t="s">
        <v>6125</v>
      </c>
    </row>
    <row r="1109" spans="1:4" ht="30">
      <c r="A1109" s="5" t="str">
        <f>HYPERLINK("https://www.oit.va.gov/Services/TRM/ToolPage.aspx?tid=11453^","Kaluza Analysis Software")</f>
        <v>Kaluza Analysis Software</v>
      </c>
      <c r="B1109" s="4" t="s">
        <v>2706</v>
      </c>
      <c r="C1109" s="8" t="s">
        <v>5</v>
      </c>
      <c r="D1109" s="11" t="s">
        <v>1254</v>
      </c>
    </row>
    <row r="1110" spans="1:4" ht="30">
      <c r="A1110" s="5" t="str">
        <f>HYPERLINK("https://www.oit.va.gov/Services/TRM/ToolPage.aspx?tid=15684^","DxONE Command Central")</f>
        <v>DxONE Command Central</v>
      </c>
      <c r="B1110" s="4" t="s">
        <v>2706</v>
      </c>
      <c r="C1110" s="8" t="s">
        <v>5</v>
      </c>
      <c r="D1110" s="11" t="s">
        <v>4052</v>
      </c>
    </row>
    <row r="1111" spans="1:4" ht="30">
      <c r="A1111" s="5" t="str">
        <f>HYPERLINK("https://www.oit.va.gov/Services/TRM/ToolPage.aspx?tid=14017^","Kaluza Clinical (C) Analysis Software")</f>
        <v>Kaluza Clinical (C) Analysis Software</v>
      </c>
      <c r="B1111" s="4" t="s">
        <v>2706</v>
      </c>
      <c r="C1111" s="8" t="s">
        <v>5</v>
      </c>
      <c r="D1111" s="11" t="s">
        <v>4325</v>
      </c>
    </row>
    <row r="1112" spans="1:4" ht="30">
      <c r="A1112" s="5" t="str">
        <f>HYPERLINK("https://www.oit.va.gov/Services/TRM/ToolPage.aspx?tid=16290^","Remisol Advance")</f>
        <v>Remisol Advance</v>
      </c>
      <c r="B1112" s="4" t="s">
        <v>2706</v>
      </c>
      <c r="C1112" s="8" t="s">
        <v>5</v>
      </c>
      <c r="D1112" s="11" t="s">
        <v>4734</v>
      </c>
    </row>
    <row r="1113" spans="1:4" ht="30">
      <c r="A1113" s="5" t="str">
        <f>HYPERLINK("https://www.oit.va.gov/Services/TRM/ToolPage.aspx?tid=13822^","LabPro Connect")</f>
        <v>LabPro Connect</v>
      </c>
      <c r="B1113" s="4" t="s">
        <v>2706</v>
      </c>
      <c r="C1113" s="8" t="s">
        <v>5</v>
      </c>
      <c r="D1113" s="11" t="s">
        <v>7973</v>
      </c>
    </row>
    <row r="1114" spans="1:4" ht="30">
      <c r="A1114" s="5" t="str">
        <f>HYPERLINK("https://www.oit.va.gov/Services/TRM/ToolPage.aspx?tid=9445^","Becton Dickinson (BD) FACSDiva Software")</f>
        <v>Becton Dickinson (BD) FACSDiva Software</v>
      </c>
      <c r="B1114" s="4" t="s">
        <v>1355</v>
      </c>
      <c r="C1114" s="8" t="s">
        <v>5</v>
      </c>
      <c r="D1114" s="11" t="s">
        <v>1356</v>
      </c>
    </row>
    <row r="1115" spans="1:4" ht="30">
      <c r="A1115" s="5" t="str">
        <f>HYPERLINK("https://www.oit.va.gov/Services/TRM/ToolPage.aspx?tid=6696^","Guardrails Suite MX")</f>
        <v>Guardrails Suite MX</v>
      </c>
      <c r="B1115" s="4" t="s">
        <v>1355</v>
      </c>
      <c r="C1115" s="8" t="s">
        <v>5</v>
      </c>
      <c r="D1115" s="11" t="s">
        <v>1585</v>
      </c>
    </row>
    <row r="1116" spans="1:4" ht="30">
      <c r="A1116" s="5" t="str">
        <f>HYPERLINK("https://www.oit.va.gov/Services/TRM/ToolPage.aspx?tid=10979^","BD HealthSight Infection Advisor with MedMined Insights")</f>
        <v>BD HealthSight Infection Advisor with MedMined Insights</v>
      </c>
      <c r="B1116" s="4" t="s">
        <v>1355</v>
      </c>
      <c r="C1116" s="8" t="s">
        <v>5</v>
      </c>
      <c r="D1116" s="11" t="s">
        <v>2408</v>
      </c>
    </row>
    <row r="1117" spans="1:4" ht="30">
      <c r="A1117" s="5" t="str">
        <f>HYPERLINK("https://www.oit.va.gov/Services/TRM/ToolPage.aspx?tid=7362^","Crystal Microbiology INteractive Database (MIND)")</f>
        <v>Crystal Microbiology INteractive Database (MIND)</v>
      </c>
      <c r="B1117" s="4" t="s">
        <v>1355</v>
      </c>
      <c r="C1117" s="8" t="s">
        <v>5</v>
      </c>
      <c r="D1117" s="11" t="s">
        <v>1073</v>
      </c>
    </row>
    <row r="1118" spans="1:4" ht="30">
      <c r="A1118" s="5" t="str">
        <f>HYPERLINK("https://www.oit.va.gov/Services/TRM/ToolPage.aspx?tid=13804^","BD Assurity Linc")</f>
        <v>BD Assurity Linc</v>
      </c>
      <c r="B1118" s="4" t="s">
        <v>1355</v>
      </c>
      <c r="C1118" s="8" t="s">
        <v>5</v>
      </c>
      <c r="D1118" s="11" t="s">
        <v>3823</v>
      </c>
    </row>
    <row r="1119" spans="1:4" ht="30">
      <c r="A1119" s="5" t="str">
        <f>HYPERLINK("https://www.oit.va.gov/Services/TRM/ToolPage.aspx?tid=14028^","BD Synapsys")</f>
        <v>BD Synapsys</v>
      </c>
      <c r="B1119" s="4" t="s">
        <v>1355</v>
      </c>
      <c r="C1119" s="8" t="s">
        <v>5</v>
      </c>
      <c r="D1119" s="11" t="s">
        <v>3824</v>
      </c>
    </row>
    <row r="1120" spans="1:4" ht="30">
      <c r="A1120" s="5" t="str">
        <f>HYPERLINK("https://www.oit.va.gov/Services/TRM/ToolPage.aspx?tid=9805^","Pyxis Logistics")</f>
        <v>Pyxis Logistics</v>
      </c>
      <c r="B1120" s="4" t="s">
        <v>1355</v>
      </c>
      <c r="C1120" s="8" t="s">
        <v>5</v>
      </c>
      <c r="D1120" s="11" t="s">
        <v>4678</v>
      </c>
    </row>
    <row r="1121" spans="1:4" ht="30">
      <c r="A1121" s="5" t="str">
        <f>HYPERLINK("https://www.oit.va.gov/Services/TRM/ToolPage.aspx?tid=9275^","Pyxis MedStation Enterprise Server (ES) System")</f>
        <v>Pyxis MedStation Enterprise Server (ES) System</v>
      </c>
      <c r="B1121" s="4" t="s">
        <v>1355</v>
      </c>
      <c r="C1121" s="8" t="s">
        <v>5</v>
      </c>
      <c r="D1121" s="11" t="s">
        <v>4437</v>
      </c>
    </row>
    <row r="1122" spans="1:4" ht="30">
      <c r="A1122" s="5" t="str">
        <f>HYPERLINK("https://www.oit.va.gov/Services/TRM/ToolPage.aspx?tid=7998^","Alaris System Maintenance Software")</f>
        <v>Alaris System Maintenance Software</v>
      </c>
      <c r="B1122" s="4" t="s">
        <v>1355</v>
      </c>
      <c r="C1122" s="8" t="s">
        <v>5</v>
      </c>
      <c r="D1122" s="11" t="s">
        <v>5623</v>
      </c>
    </row>
    <row r="1123" spans="1:4" ht="30">
      <c r="A1123" s="5" t="str">
        <f>HYPERLINK("https://www.oit.va.gov/Services/TRM/ToolPage.aspx?tid=11217^","Alaris Systems Manager")</f>
        <v>Alaris Systems Manager</v>
      </c>
      <c r="B1123" s="4" t="s">
        <v>1355</v>
      </c>
      <c r="C1123" s="8" t="s">
        <v>5</v>
      </c>
      <c r="D1123" s="11" t="s">
        <v>5624</v>
      </c>
    </row>
    <row r="1124" spans="1:4" ht="30">
      <c r="A1124" s="5" t="str">
        <f>HYPERLINK("https://www.oit.va.gov/Services/TRM/ToolPage.aspx?tid=14665^","Becton and Dickinson (BD) FACSuite Clinical Application")</f>
        <v>Becton and Dickinson (BD) FACSuite Clinical Application</v>
      </c>
      <c r="B1124" s="4" t="s">
        <v>1355</v>
      </c>
      <c r="C1124" s="8" t="s">
        <v>5</v>
      </c>
      <c r="D1124" s="11" t="s">
        <v>555</v>
      </c>
    </row>
    <row r="1125" spans="1:4" ht="30">
      <c r="A1125" s="5" t="str">
        <f>HYPERLINK("https://www.oit.va.gov/Services/TRM/ToolPage.aspx?tid=15201^","IntelliSys")</f>
        <v>IntelliSys</v>
      </c>
      <c r="B1125" s="4" t="s">
        <v>1355</v>
      </c>
      <c r="C1125" s="8" t="s">
        <v>5</v>
      </c>
      <c r="D1125" s="11" t="s">
        <v>5882</v>
      </c>
    </row>
    <row r="1126" spans="1:4" ht="30">
      <c r="A1126" s="5" t="str">
        <f>HYPERLINK("https://www.oit.va.gov/Services/TRM/ToolPage.aspx?tid=9374^","Knowledge Portal for BD Pyxis Medication Technologies")</f>
        <v>Knowledge Portal for BD Pyxis Medication Technologies</v>
      </c>
      <c r="B1126" s="4" t="s">
        <v>1355</v>
      </c>
      <c r="C1126" s="8" t="s">
        <v>5</v>
      </c>
      <c r="D1126" s="11" t="s">
        <v>2369</v>
      </c>
    </row>
    <row r="1127" spans="1:4" ht="30">
      <c r="A1127" s="5" t="str">
        <f>HYPERLINK("https://www.oit.va.gov/Services/TRM/ToolPage.aspx?tid=10522^","Pyxis IV Prep")</f>
        <v>Pyxis IV Prep</v>
      </c>
      <c r="B1127" s="4" t="s">
        <v>1355</v>
      </c>
      <c r="C1127" s="8" t="s">
        <v>5</v>
      </c>
      <c r="D1127" s="11" t="s">
        <v>1414</v>
      </c>
    </row>
    <row r="1128" spans="1:4" ht="30">
      <c r="A1128" s="5" t="str">
        <f>HYPERLINK("https://www.oit.va.gov/Services/TRM/ToolPage.aspx?tid=14974^","Pyxis SupplyStation")</f>
        <v>Pyxis SupplyStation</v>
      </c>
      <c r="B1128" s="4" t="s">
        <v>1355</v>
      </c>
      <c r="C1128" s="8" t="s">
        <v>5</v>
      </c>
      <c r="D1128" s="11" t="s">
        <v>919</v>
      </c>
    </row>
    <row r="1129" spans="1:4" ht="30">
      <c r="A1129" s="5" t="str">
        <f>HYPERLINK("https://www.oit.va.gov/Services/TRM/ToolPage.aspx?tid=16131^","BD Pyxis Med Link Queue &amp; Waste")</f>
        <v>BD Pyxis Med Link Queue &amp; Waste</v>
      </c>
      <c r="B1129" s="4" t="s">
        <v>1355</v>
      </c>
      <c r="C1129" s="8" t="s">
        <v>5</v>
      </c>
      <c r="D1129" s="11" t="s">
        <v>7539</v>
      </c>
    </row>
    <row r="1130" spans="1:4" ht="30">
      <c r="A1130" s="5" t="str">
        <f>HYPERLINK("https://www.oit.va.gov/Services/TRM/ToolPage.aspx?tid=10831^","Infusion Barcode Medication Administration (BCMA)")</f>
        <v>Infusion Barcode Medication Administration (BCMA)</v>
      </c>
      <c r="B1130" s="4" t="s">
        <v>1355</v>
      </c>
      <c r="C1130" s="8" t="s">
        <v>5</v>
      </c>
      <c r="D1130" s="11" t="s">
        <v>6768</v>
      </c>
    </row>
    <row r="1131" spans="1:4" ht="30">
      <c r="A1131" s="5" t="str">
        <f>HYPERLINK("https://www.oit.va.gov/Services/TRM/ToolPage.aspx?tid=13308^","2Do")</f>
        <v>2Do</v>
      </c>
      <c r="B1131" s="4" t="s">
        <v>6215</v>
      </c>
      <c r="C1131" s="8" t="s">
        <v>5</v>
      </c>
      <c r="D1131" s="11" t="s">
        <v>6216</v>
      </c>
    </row>
    <row r="1132" spans="1:4" ht="30">
      <c r="A1132" s="5" t="str">
        <f>HYPERLINK("https://www.oit.va.gov/Services/TRM/ToolPage.aspx?tid=10135^","BelManage")</f>
        <v>BelManage</v>
      </c>
      <c r="B1132" s="4" t="s">
        <v>2096</v>
      </c>
      <c r="C1132" s="8" t="s">
        <v>5</v>
      </c>
      <c r="D1132" s="11" t="s">
        <v>2097</v>
      </c>
    </row>
    <row r="1133" spans="1:4" ht="30">
      <c r="A1133" s="5" t="str">
        <f>HYPERLINK("https://www.oit.va.gov/Services/TRM/ToolPage.aspx?tid=5578^","Belarc Advisor")</f>
        <v>Belarc Advisor</v>
      </c>
      <c r="B1133" s="4" t="s">
        <v>2096</v>
      </c>
      <c r="C1133" s="8" t="s">
        <v>5</v>
      </c>
      <c r="D1133" s="11" t="s">
        <v>7545</v>
      </c>
    </row>
    <row r="1134" spans="1:4" ht="30">
      <c r="A1134" s="5" t="str">
        <f>HYPERLINK("https://www.oit.va.gov/Services/TRM/ToolPage.aspx?tid=10364^","Belimed Infection Control Software (ICS)")</f>
        <v>Belimed Infection Control Software (ICS)</v>
      </c>
      <c r="B1134" s="4" t="s">
        <v>5070</v>
      </c>
      <c r="C1134" s="8" t="s">
        <v>5</v>
      </c>
      <c r="D1134" s="11" t="s">
        <v>3532</v>
      </c>
    </row>
    <row r="1135" spans="1:4" ht="30">
      <c r="A1135" s="5" t="str">
        <f>HYPERLINK("https://www.oit.va.gov/Services/TRM/ToolPage.aspx?tid=9396^","Swallowtail")</f>
        <v>Swallowtail</v>
      </c>
      <c r="B1135" s="4" t="s">
        <v>8761</v>
      </c>
      <c r="C1135" s="8" t="s">
        <v>5</v>
      </c>
      <c r="D1135" s="11" t="s">
        <v>8451</v>
      </c>
    </row>
    <row r="1136" spans="1:4" ht="30">
      <c r="A1136" s="5" t="str">
        <f>HYPERLINK("https://www.oit.va.gov/Services/TRM/ToolPage.aspx?tid=13523^","Label Maker Pro")</f>
        <v>Label Maker Pro</v>
      </c>
      <c r="B1136" s="4" t="s">
        <v>6773</v>
      </c>
      <c r="C1136" s="8" t="s">
        <v>5</v>
      </c>
      <c r="D1136" s="11" t="s">
        <v>3135</v>
      </c>
    </row>
    <row r="1137" spans="1:4" ht="30">
      <c r="A1137" s="5" t="str">
        <f>HYPERLINK("https://www.oit.va.gov/Services/TRM/ToolPage.aspx?tid=12863^","Kitchen Display System (KDS) Manager")</f>
        <v>Kitchen Display System (KDS) Manager</v>
      </c>
      <c r="B1137" s="4" t="s">
        <v>8155</v>
      </c>
      <c r="C1137" s="8" t="s">
        <v>5</v>
      </c>
      <c r="D1137" s="11" t="s">
        <v>3170</v>
      </c>
    </row>
    <row r="1138" spans="1:4" ht="30">
      <c r="A1138" s="5" t="str">
        <f>HYPERLINK("https://www.oit.va.gov/Services/TRM/ToolPage.aspx?tid=9265^","Hooker")</f>
        <v>Hooker</v>
      </c>
      <c r="B1138" s="4" t="s">
        <v>8035</v>
      </c>
      <c r="C1138" s="8" t="s">
        <v>5</v>
      </c>
      <c r="D1138" s="11" t="s">
        <v>984</v>
      </c>
    </row>
    <row r="1139" spans="1:4" ht="30">
      <c r="A1139" s="5" t="str">
        <f>HYPERLINK("https://www.oit.va.gov/Services/TRM/ToolPage.aspx?tid=11688^","Sleuth Kit")</f>
        <v>Sleuth Kit</v>
      </c>
      <c r="B1139" s="4" t="s">
        <v>2960</v>
      </c>
      <c r="C1139" s="8" t="s">
        <v>5</v>
      </c>
      <c r="D1139" s="11" t="s">
        <v>2961</v>
      </c>
    </row>
    <row r="1140" spans="1:4" ht="30">
      <c r="A1140" s="5" t="str">
        <f>HYPERLINK("https://www.oit.va.gov/Services/TRM/ToolPage.aspx?tid=13962^","NAPS2 (Not Another PDF Scanner 2)")</f>
        <v>NAPS2 (Not Another PDF Scanner 2)</v>
      </c>
      <c r="B1140" s="4" t="s">
        <v>8300</v>
      </c>
      <c r="C1140" s="8" t="s">
        <v>5</v>
      </c>
      <c r="D1140" s="11" t="s">
        <v>7938</v>
      </c>
    </row>
    <row r="1141" spans="1:4" ht="30">
      <c r="A1141" s="5" t="str">
        <f>HYPERLINK("https://www.oit.va.gov/Services/TRM/ToolPage.aspx?tid=16753^","git2consul")</f>
        <v>git2consul</v>
      </c>
      <c r="B1141" s="4" t="s">
        <v>7982</v>
      </c>
      <c r="C1141" s="8" t="s">
        <v>5</v>
      </c>
      <c r="D1141" s="11" t="s">
        <v>1057</v>
      </c>
    </row>
    <row r="1142" spans="1:4" ht="30">
      <c r="A1142" s="5" t="str">
        <f>HYPERLINK("https://www.oit.va.gov/Services/TRM/ToolPage.aspx?tid=8916^","Painless Desktop")</f>
        <v>Painless Desktop</v>
      </c>
      <c r="B1142" s="4" t="s">
        <v>8385</v>
      </c>
      <c r="C1142" s="8" t="s">
        <v>5</v>
      </c>
      <c r="D1142" s="11" t="s">
        <v>8386</v>
      </c>
    </row>
    <row r="1143" spans="1:4" ht="30">
      <c r="A1143" s="5" t="str">
        <f>HYPERLINK("https://www.oit.va.gov/Services/TRM/ToolPage.aspx?tid=16196^","macFUSE (Filesystem in Userspace)")</f>
        <v>macFUSE (Filesystem in Userspace)</v>
      </c>
      <c r="B1143" s="4" t="s">
        <v>6809</v>
      </c>
      <c r="C1143" s="8" t="s">
        <v>5</v>
      </c>
      <c r="D1143" s="11" t="s">
        <v>433</v>
      </c>
    </row>
    <row r="1144" spans="1:4" ht="30">
      <c r="A1144" s="5" t="str">
        <f>HYPERLINK("https://www.oit.va.gov/Services/TRM/ToolPage.aspx?tid=11558^","Benjamin Rose Institute on Aging (BRI) Care Consultation Information System (CCIS)")</f>
        <v>Benjamin Rose Institute on Aging (BRI) Care Consultation Information System (CCIS)</v>
      </c>
      <c r="B1144" s="4" t="s">
        <v>7546</v>
      </c>
      <c r="C1144" s="8" t="s">
        <v>5</v>
      </c>
      <c r="D1144" s="11" t="s">
        <v>1811</v>
      </c>
    </row>
    <row r="1145" spans="1:4" ht="30">
      <c r="A1145" s="5" t="str">
        <f>HYPERLINK("https://www.oit.va.gov/Services/TRM/ToolPage.aspx?tid=15196^","Gunicorn")</f>
        <v>Gunicorn</v>
      </c>
      <c r="B1145" s="4" t="s">
        <v>4200</v>
      </c>
      <c r="C1145" s="8" t="s">
        <v>5</v>
      </c>
      <c r="D1145" s="11" t="s">
        <v>4201</v>
      </c>
    </row>
    <row r="1146" spans="1:4" ht="30">
      <c r="A1146" s="5" t="str">
        <f>HYPERLINK("https://www.oit.va.gov/Services/TRM/ToolPage.aspx?tid=13934^","Benthic Golden")</f>
        <v>Benthic Golden</v>
      </c>
      <c r="B1146" s="4" t="s">
        <v>7547</v>
      </c>
      <c r="C1146" s="8" t="s">
        <v>5</v>
      </c>
      <c r="D1146" s="11" t="s">
        <v>5253</v>
      </c>
    </row>
    <row r="1147" spans="1:4" ht="30">
      <c r="A1147" s="5" t="str">
        <f>HYPERLINK("https://www.oit.va.gov/Services/TRM/ToolPage.aspx?tid=13650^","ProjectWise Explorer")</f>
        <v>ProjectWise Explorer</v>
      </c>
      <c r="B1147" s="4" t="s">
        <v>7035</v>
      </c>
      <c r="C1147" s="8" t="s">
        <v>5</v>
      </c>
      <c r="D1147" s="11" t="s">
        <v>6374</v>
      </c>
    </row>
    <row r="1148" spans="1:4" ht="30">
      <c r="A1148" s="5" t="str">
        <f>HYPERLINK("https://www.oit.va.gov/Services/TRM/ToolPage.aspx?tid=9772^","Automatic Dynamic Incremental Nonlinear Analysis (ADINA) Fluid-Structure Interaction (FSI)")</f>
        <v>Automatic Dynamic Incremental Nonlinear Analysis (ADINA) Fluid-Structure Interaction (FSI)</v>
      </c>
      <c r="B1148" s="4" t="s">
        <v>7035</v>
      </c>
      <c r="C1148" s="8" t="s">
        <v>5</v>
      </c>
      <c r="D1148" s="11" t="s">
        <v>7511</v>
      </c>
    </row>
    <row r="1149" spans="1:4" ht="30">
      <c r="A1149" s="5" t="str">
        <f>HYPERLINK("https://www.oit.va.gov/Services/TRM/ToolPage.aspx?tid=9737^","Synchro Open Viewer")</f>
        <v>Synchro Open Viewer</v>
      </c>
      <c r="B1149" s="4" t="s">
        <v>7035</v>
      </c>
      <c r="C1149" s="8" t="s">
        <v>5</v>
      </c>
      <c r="D1149" s="11" t="s">
        <v>6400</v>
      </c>
    </row>
    <row r="1150" spans="1:4" ht="30">
      <c r="A1150" s="5" t="str">
        <f>HYPERLINK("https://www.oit.va.gov/Services/TRM/ToolPage.aspx?tid=7793^","Berkshelf")</f>
        <v>Berkshelf</v>
      </c>
      <c r="B1150" s="4" t="s">
        <v>6338</v>
      </c>
      <c r="C1150" s="8" t="s">
        <v>5</v>
      </c>
      <c r="D1150" s="11" t="s">
        <v>6339</v>
      </c>
    </row>
    <row r="1151" spans="1:4" ht="30">
      <c r="A1151" s="5" t="str">
        <f>HYPERLINK("https://www.oit.va.gov/Services/TRM/ToolPage.aspx?tid=5579^","Oasis")</f>
        <v>Oasis</v>
      </c>
      <c r="B1151" s="4" t="s">
        <v>8349</v>
      </c>
      <c r="C1151" s="8" t="s">
        <v>5</v>
      </c>
      <c r="D1151" s="11" t="s">
        <v>3506</v>
      </c>
    </row>
    <row r="1152" spans="1:4" ht="30">
      <c r="A1152" s="5" t="str">
        <f>HYPERLINK("https://www.oit.va.gov/Services/TRM/ToolPage.aspx?tid=10634^","ReadAlyzer")</f>
        <v>ReadAlyzer</v>
      </c>
      <c r="B1152" s="4" t="s">
        <v>8537</v>
      </c>
      <c r="C1152" s="8" t="s">
        <v>5</v>
      </c>
      <c r="D1152" s="11" t="s">
        <v>5054</v>
      </c>
    </row>
    <row r="1153" spans="1:4" ht="30">
      <c r="A1153" s="5" t="str">
        <f>HYPERLINK("https://www.oit.va.gov/Services/TRM/ToolPage.aspx?tid=12906^","Bernoulli One Clinical Surveillance System")</f>
        <v>Bernoulli One Clinical Surveillance System</v>
      </c>
      <c r="B1153" s="4" t="s">
        <v>7549</v>
      </c>
      <c r="C1153" s="8" t="s">
        <v>5</v>
      </c>
      <c r="D1153" s="11" t="s">
        <v>7550</v>
      </c>
    </row>
    <row r="1154" spans="1:4" ht="30">
      <c r="A1154" s="5" t="str">
        <f>HYPERLINK("https://www.oit.va.gov/Services/TRM/ToolPage.aspx?tid=10363^","AnkhSVN")</f>
        <v>AnkhSVN</v>
      </c>
      <c r="B1154" s="4" t="s">
        <v>7444</v>
      </c>
      <c r="C1154" s="8" t="s">
        <v>5</v>
      </c>
      <c r="D1154" s="11" t="s">
        <v>7445</v>
      </c>
    </row>
    <row r="1155" spans="1:4" ht="30">
      <c r="A1155" s="5" t="str">
        <f>HYPERLINK("https://www.oit.va.gov/Services/TRM/ToolPage.aspx?tid=15317^","Brain Electrical Source Analysis (BESA) Research")</f>
        <v>Brain Electrical Source Analysis (BESA) Research</v>
      </c>
      <c r="B1155" s="4" t="s">
        <v>596</v>
      </c>
      <c r="C1155" s="8" t="s">
        <v>5</v>
      </c>
      <c r="D1155" s="11" t="s">
        <v>597</v>
      </c>
    </row>
    <row r="1156" spans="1:4" ht="30">
      <c r="A1156" s="5" t="str">
        <f>HYPERLINK("https://www.oit.va.gov/Services/TRM/ToolPage.aspx?tid=16120^","Import Wizard")</f>
        <v>Import Wizard</v>
      </c>
      <c r="B1156" s="4" t="s">
        <v>4254</v>
      </c>
      <c r="C1156" s="8" t="s">
        <v>5</v>
      </c>
      <c r="D1156" s="11" t="s">
        <v>362</v>
      </c>
    </row>
    <row r="1157" spans="1:4" ht="30">
      <c r="A1157" s="5" t="str">
        <f>HYPERLINK("https://www.oit.va.gov/Services/TRM/ToolPage.aspx?tid=6022^","Keystone Web")</f>
        <v>Keystone Web</v>
      </c>
      <c r="B1157" s="4" t="s">
        <v>2714</v>
      </c>
      <c r="C1157" s="8" t="s">
        <v>5</v>
      </c>
      <c r="D1157" s="11" t="s">
        <v>2715</v>
      </c>
    </row>
    <row r="1158" spans="1:4" ht="30">
      <c r="A1158" s="5" t="str">
        <f>HYPERLINK("https://www.oit.va.gov/Services/TRM/ToolPage.aspx?tid=7730^","Request Tracker (RT)")</f>
        <v>Request Tracker (RT)</v>
      </c>
      <c r="B1158" s="4" t="s">
        <v>8563</v>
      </c>
      <c r="C1158" s="8" t="s">
        <v>5</v>
      </c>
      <c r="D1158" s="11" t="s">
        <v>8564</v>
      </c>
    </row>
    <row r="1159" spans="1:4" ht="30">
      <c r="A1159" s="5" t="str">
        <f>HYPERLINK("https://www.oit.va.gov/Services/TRM/ToolPage.aspx?tid=7939^","Request Tracker for Incident Response (RTIR)")</f>
        <v>Request Tracker for Incident Response (RTIR)</v>
      </c>
      <c r="B1159" s="4" t="s">
        <v>8563</v>
      </c>
      <c r="C1159" s="8" t="s">
        <v>5</v>
      </c>
      <c r="D1159" s="11" t="s">
        <v>8240</v>
      </c>
    </row>
    <row r="1160" spans="1:4" ht="30">
      <c r="A1160" s="5" t="str">
        <f>HYPERLINK("https://www.oit.va.gov/Services/TRM/ToolPage.aspx?tid=12870^","DisplayIt! Xpress")</f>
        <v>DisplayIt! Xpress</v>
      </c>
      <c r="B1160" s="4" t="s">
        <v>5148</v>
      </c>
      <c r="C1160" s="8" t="s">
        <v>5</v>
      </c>
      <c r="D1160" s="11" t="s">
        <v>5149</v>
      </c>
    </row>
    <row r="1161" spans="1:4" ht="30">
      <c r="A1161" s="5" t="str">
        <f>HYPERLINK("https://www.oit.va.gov/Services/TRM/ToolPage.aspx?tid=10437^","BeyondTrust Remote Support")</f>
        <v>BeyondTrust Remote Support</v>
      </c>
      <c r="B1161" s="4" t="s">
        <v>3828</v>
      </c>
      <c r="C1161" s="8" t="s">
        <v>5</v>
      </c>
      <c r="D1161" s="11" t="s">
        <v>3829</v>
      </c>
    </row>
    <row r="1162" spans="1:4" ht="30">
      <c r="A1162" s="5" t="str">
        <f>HYPERLINK("https://www.oit.va.gov/Services/TRM/ToolPage.aspx?tid=16130^","Power BI (Business Intelligence) Connector")</f>
        <v>Power BI (Business Intelligence) Connector</v>
      </c>
      <c r="B1162" s="4" t="s">
        <v>2873</v>
      </c>
      <c r="C1162" s="8" t="s">
        <v>5</v>
      </c>
      <c r="D1162" s="11" t="s">
        <v>2874</v>
      </c>
    </row>
    <row r="1163" spans="1:4" ht="30">
      <c r="A1163" s="5" t="str">
        <f>HYPERLINK("https://www.oit.va.gov/Services/TRM/ToolPage.aspx?tid=14966^","Vocia")</f>
        <v>Vocia</v>
      </c>
      <c r="B1163" s="4" t="s">
        <v>7306</v>
      </c>
      <c r="C1163" s="8" t="s">
        <v>5</v>
      </c>
      <c r="D1163" s="11" t="s">
        <v>3626</v>
      </c>
    </row>
    <row r="1164" spans="1:4" ht="30">
      <c r="A1164" s="5" t="str">
        <f>HYPERLINK("https://www.oit.va.gov/Services/TRM/ToolPage.aspx?tid=8136^","CritiCall")</f>
        <v>CritiCall</v>
      </c>
      <c r="B1164" s="4" t="s">
        <v>7711</v>
      </c>
      <c r="C1164" s="8" t="s">
        <v>5</v>
      </c>
      <c r="D1164" s="11" t="s">
        <v>3384</v>
      </c>
    </row>
    <row r="1165" spans="1:4" ht="30">
      <c r="A1165" s="5" t="str">
        <f>HYPERLINK("https://www.oit.va.gov/Services/TRM/ToolPage.aspx?tid=8404^","Universal Imaging Utility (UIU)")</f>
        <v>Universal Imaging Utility (UIU)</v>
      </c>
      <c r="B1165" s="4" t="s">
        <v>2018</v>
      </c>
      <c r="C1165" s="8" t="s">
        <v>5</v>
      </c>
      <c r="D1165" s="11" t="s">
        <v>2019</v>
      </c>
    </row>
    <row r="1166" spans="1:4" ht="30">
      <c r="A1166" s="5" t="str">
        <f>HYPERLINK("https://www.oit.va.gov/Services/TRM/ToolPage.aspx?tid=8349^","ScreenCast-O-Matic software")</f>
        <v>ScreenCast-O-Matic software</v>
      </c>
      <c r="B1166" s="4" t="s">
        <v>7108</v>
      </c>
      <c r="C1166" s="8" t="s">
        <v>5</v>
      </c>
      <c r="D1166" s="11" t="s">
        <v>3496</v>
      </c>
    </row>
    <row r="1167" spans="1:4" ht="30">
      <c r="A1167" s="5" t="str">
        <f>HYPERLINK("https://www.oit.va.gov/Services/TRM/ToolPage.aspx?tid=6200^","FindBugs")</f>
        <v>FindBugs</v>
      </c>
      <c r="B1167" s="4" t="s">
        <v>5197</v>
      </c>
      <c r="C1167" s="8" t="s">
        <v>5</v>
      </c>
      <c r="D1167" s="11" t="s">
        <v>2555</v>
      </c>
    </row>
    <row r="1168" spans="1:4" ht="30">
      <c r="A1168" s="5" t="str">
        <f>HYPERLINK("https://www.oit.va.gov/Services/TRM/ToolPage.aspx?tid=13451^","TotalFinder")</f>
        <v>TotalFinder</v>
      </c>
      <c r="B1168" s="4" t="s">
        <v>8819</v>
      </c>
      <c r="C1168" s="8" t="s">
        <v>5</v>
      </c>
      <c r="D1168" s="11" t="s">
        <v>8334</v>
      </c>
    </row>
    <row r="1169" spans="1:4" ht="30">
      <c r="A1169" s="5" t="str">
        <f>HYPERLINK("https://www.oit.va.gov/Services/TRM/ToolPage.aspx?tid=10369^","DisplayFusion")</f>
        <v>DisplayFusion</v>
      </c>
      <c r="B1169" s="4" t="s">
        <v>4023</v>
      </c>
      <c r="C1169" s="8" t="s">
        <v>5</v>
      </c>
      <c r="D1169" s="11" t="s">
        <v>4024</v>
      </c>
    </row>
    <row r="1170" spans="1:4" ht="30">
      <c r="A1170" s="5" t="str">
        <f>HYPERLINK("https://www.oit.va.gov/Services/TRM/ToolPage.aspx?tid=13586^","FileSeek")</f>
        <v>FileSeek</v>
      </c>
      <c r="B1170" s="4" t="s">
        <v>4023</v>
      </c>
      <c r="C1170" s="8" t="s">
        <v>5</v>
      </c>
      <c r="D1170" s="11" t="s">
        <v>7922</v>
      </c>
    </row>
    <row r="1171" spans="1:4" ht="30">
      <c r="A1171" s="5" t="str">
        <f>HYPERLINK("https://www.oit.va.gov/Services/TRM/ToolPage.aspx?tid=13842^","Notepad Replacer")</f>
        <v>Notepad Replacer</v>
      </c>
      <c r="B1171" s="4" t="s">
        <v>4023</v>
      </c>
      <c r="C1171" s="8" t="s">
        <v>5</v>
      </c>
      <c r="D1171" s="11" t="s">
        <v>8341</v>
      </c>
    </row>
    <row r="1172" spans="1:4" ht="30">
      <c r="A1172" s="5" t="str">
        <f>HYPERLINK("https://www.oit.va.gov/Services/TRM/ToolPage.aspx?tid=13276^","SSDLife")</f>
        <v>SSDLife</v>
      </c>
      <c r="B1172" s="4" t="s">
        <v>8718</v>
      </c>
      <c r="C1172" s="8" t="s">
        <v>5</v>
      </c>
      <c r="D1172" s="11" t="s">
        <v>7761</v>
      </c>
    </row>
    <row r="1173" spans="1:4" ht="30">
      <c r="A1173" s="5" t="str">
        <f>HYPERLINK("https://www.oit.va.gov/Services/TRM/ToolPage.aspx?tid=13972^","Digital Bingo King")</f>
        <v>Digital Bingo King</v>
      </c>
      <c r="B1173" s="4" t="s">
        <v>3252</v>
      </c>
      <c r="C1173" s="8" t="s">
        <v>5</v>
      </c>
      <c r="D1173" s="11" t="s">
        <v>3253</v>
      </c>
    </row>
    <row r="1174" spans="1:4" ht="30">
      <c r="A1174" s="5" t="str">
        <f>HYPERLINK("https://www.oit.va.gov/Services/TRM/ToolPage.aspx?tid=5972^","Exercise Pro")</f>
        <v>Exercise Pro</v>
      </c>
      <c r="B1174" s="4" t="s">
        <v>4112</v>
      </c>
      <c r="C1174" s="8" t="s">
        <v>5</v>
      </c>
      <c r="D1174" s="11" t="s">
        <v>2518</v>
      </c>
    </row>
    <row r="1175" spans="1:4" ht="30">
      <c r="A1175" s="5" t="str">
        <f>HYPERLINK("https://www.oit.va.gov/Services/TRM/ToolPage.aspx?tid=13583^","Nutrition Maker")</f>
        <v>Nutrition Maker</v>
      </c>
      <c r="B1175" s="4" t="s">
        <v>4112</v>
      </c>
      <c r="C1175" s="8" t="s">
        <v>5</v>
      </c>
      <c r="D1175" s="11" t="s">
        <v>2210</v>
      </c>
    </row>
    <row r="1176" spans="1:4" ht="30">
      <c r="A1176" s="5" t="str">
        <f>HYPERLINK("https://www.oit.va.gov/Services/TRM/ToolPage.aspx?tid=14001^","Orange")</f>
        <v>Orange</v>
      </c>
      <c r="B1176" s="4" t="s">
        <v>5984</v>
      </c>
      <c r="C1176" s="8" t="s">
        <v>5</v>
      </c>
      <c r="D1176" s="11" t="s">
        <v>5969</v>
      </c>
    </row>
    <row r="1177" spans="1:4" ht="30">
      <c r="A1177" s="5" t="str">
        <f>HYPERLINK("https://www.oit.va.gov/Services/TRM/ToolPage.aspx?tid=11415^","Statistical Analysis of Metagenomic Profiles (STAMP)")</f>
        <v>Statistical Analysis of Metagenomic Profiles (STAMP)</v>
      </c>
      <c r="B1177" s="4" t="s">
        <v>8725</v>
      </c>
      <c r="C1177" s="8" t="s">
        <v>5</v>
      </c>
      <c r="D1177" s="11" t="s">
        <v>892</v>
      </c>
    </row>
    <row r="1178" spans="1:4" ht="30">
      <c r="A1178" s="5" t="str">
        <f>HYPERLINK("https://www.oit.va.gov/Services/TRM/ToolPage.aspx?tid=11494^","BioExplorer")</f>
        <v>BioExplorer</v>
      </c>
      <c r="B1178" s="4" t="s">
        <v>588</v>
      </c>
      <c r="C1178" s="8" t="s">
        <v>5</v>
      </c>
      <c r="D1178" s="11" t="s">
        <v>589</v>
      </c>
    </row>
    <row r="1179" spans="1:4" ht="30">
      <c r="A1179" s="5" t="str">
        <f>HYPERLINK("https://www.oit.va.gov/Services/TRM/ToolPage.aspx?tid=15739^","DensiCHEK Communication Bridge")</f>
        <v>DensiCHEK Communication Bridge</v>
      </c>
      <c r="B1179" s="4" t="s">
        <v>2505</v>
      </c>
      <c r="C1179" s="8" t="s">
        <v>5</v>
      </c>
      <c r="D1179" s="11" t="s">
        <v>2506</v>
      </c>
    </row>
    <row r="1180" spans="1:4" ht="30">
      <c r="A1180" s="5" t="str">
        <f>HYPERLINK("https://www.oit.va.gov/Services/TRM/ToolPage.aspx?tid=8953^","Virtual Prep Station Software")</f>
        <v>Virtual Prep Station Software</v>
      </c>
      <c r="B1180" s="4" t="s">
        <v>2505</v>
      </c>
      <c r="C1180" s="8" t="s">
        <v>5</v>
      </c>
      <c r="D1180" s="11" t="s">
        <v>5539</v>
      </c>
    </row>
    <row r="1181" spans="1:4" ht="30">
      <c r="A1181" s="5" t="str">
        <f>HYPERLINK("https://www.oit.va.gov/Services/TRM/ToolPage.aspx?tid=8132^","Momentum Scheduler")</f>
        <v>Momentum Scheduler</v>
      </c>
      <c r="B1181" s="4" t="s">
        <v>5361</v>
      </c>
      <c r="C1181" s="8" t="s">
        <v>5</v>
      </c>
      <c r="D1181" s="11" t="s">
        <v>5362</v>
      </c>
    </row>
    <row r="1182" spans="1:4" ht="30">
      <c r="A1182" s="5" t="str">
        <f>HYPERLINK("https://www.oit.va.gov/Services/TRM/ToolPage.aspx?tid=10981^","Biopoint Treatment Scheduler")</f>
        <v>Biopoint Treatment Scheduler</v>
      </c>
      <c r="B1182" s="4" t="s">
        <v>5361</v>
      </c>
      <c r="C1182" s="8" t="s">
        <v>5</v>
      </c>
      <c r="D1182" s="11" t="s">
        <v>7555</v>
      </c>
    </row>
    <row r="1183" spans="1:4" ht="30">
      <c r="A1183" s="5" t="str">
        <f>HYPERLINK("https://www.oit.va.gov/Services/TRM/ToolPage.aspx?tid=13685^","AcqKnowledge for Stellar Telemetry")</f>
        <v>AcqKnowledge for Stellar Telemetry</v>
      </c>
      <c r="B1183" s="4" t="s">
        <v>3696</v>
      </c>
      <c r="C1183" s="8" t="s">
        <v>5</v>
      </c>
      <c r="D1183" s="11" t="s">
        <v>3697</v>
      </c>
    </row>
    <row r="1184" spans="1:4" ht="30">
      <c r="A1184" s="5" t="str">
        <f>HYPERLINK("https://www.oit.va.gov/Services/TRM/ToolPage.aspx?tid=7667^","AcqKnowledge Software")</f>
        <v>AcqKnowledge Software</v>
      </c>
      <c r="B1184" s="4" t="s">
        <v>3696</v>
      </c>
      <c r="C1184" s="8" t="s">
        <v>5</v>
      </c>
      <c r="D1184" s="11" t="s">
        <v>3698</v>
      </c>
    </row>
    <row r="1185" spans="1:4" ht="30">
      <c r="A1185" s="5" t="str">
        <f>HYPERLINK("https://www.oit.va.gov/Services/TRM/ToolPage.aspx?tid=13475^","PDF (Portable Document Format) Writer")</f>
        <v>PDF (Portable Document Format) Writer</v>
      </c>
      <c r="B1185" s="4" t="s">
        <v>8406</v>
      </c>
      <c r="C1185" s="8" t="s">
        <v>5</v>
      </c>
      <c r="D1185" s="11" t="s">
        <v>8407</v>
      </c>
    </row>
    <row r="1186" spans="1:4" ht="30">
      <c r="A1186" s="5" t="str">
        <f>HYPERLINK("https://www.oit.va.gov/Services/TRM/ToolPage.aspx?tid=15882^","BioPython")</f>
        <v>BioPython</v>
      </c>
      <c r="B1186" s="4" t="s">
        <v>3832</v>
      </c>
      <c r="C1186" s="8" t="s">
        <v>5</v>
      </c>
      <c r="D1186" s="11" t="s">
        <v>3833</v>
      </c>
    </row>
    <row r="1187" spans="1:4" ht="30">
      <c r="A1187" s="5" t="str">
        <f>HYPERLINK("https://www.oit.va.gov/Services/TRM/ToolPage.aspx?tid=9714^","qbase+")</f>
        <v>qbase+</v>
      </c>
      <c r="B1187" s="4" t="s">
        <v>2891</v>
      </c>
      <c r="C1187" s="8" t="s">
        <v>5</v>
      </c>
      <c r="D1187" s="11" t="s">
        <v>334</v>
      </c>
    </row>
    <row r="1188" spans="1:4" ht="30">
      <c r="A1188" s="5" t="str">
        <f>HYPERLINK("https://www.oit.va.gov/Services/TRM/ToolPage.aspx?tid=7962^","Unity Real Time (URT)")</f>
        <v>Unity Real Time (URT)</v>
      </c>
      <c r="B1188" s="4" t="s">
        <v>2891</v>
      </c>
      <c r="C1188" s="8" t="s">
        <v>5</v>
      </c>
      <c r="D1188" s="11" t="s">
        <v>3049</v>
      </c>
    </row>
    <row r="1189" spans="1:4" ht="30">
      <c r="A1189" s="5" t="str">
        <f>HYPERLINK("https://www.oit.va.gov/Services/TRM/ToolPage.aspx?tid=7967^","UnityConnect")</f>
        <v>UnityConnect</v>
      </c>
      <c r="B1189" s="4" t="s">
        <v>2891</v>
      </c>
      <c r="C1189" s="8" t="s">
        <v>5</v>
      </c>
      <c r="D1189" s="11" t="s">
        <v>1128</v>
      </c>
    </row>
    <row r="1190" spans="1:4" ht="30">
      <c r="A1190" s="5" t="str">
        <f>HYPERLINK("https://www.oit.va.gov/Services/TRM/ToolPage.aspx?tid=14338^","Bio-Rad Microplate Manager (MPM)")</f>
        <v>Bio-Rad Microplate Manager (MPM)</v>
      </c>
      <c r="B1190" s="4" t="s">
        <v>2891</v>
      </c>
      <c r="C1190" s="8" t="s">
        <v>5</v>
      </c>
      <c r="D1190" s="11" t="s">
        <v>3834</v>
      </c>
    </row>
    <row r="1191" spans="1:4" ht="30">
      <c r="A1191" s="5" t="str">
        <f>HYPERLINK("https://www.oit.va.gov/Services/TRM/ToolPage.aspx?tid=14212^","Bio-Rad Mission: Control - Agent")</f>
        <v>Bio-Rad Mission: Control - Agent</v>
      </c>
      <c r="B1191" s="4" t="s">
        <v>2891</v>
      </c>
      <c r="C1191" s="8" t="s">
        <v>5</v>
      </c>
      <c r="D1191" s="11" t="s">
        <v>2838</v>
      </c>
    </row>
    <row r="1192" spans="1:4" ht="30">
      <c r="A1192" s="5" t="str">
        <f>HYPERLINK("https://www.oit.va.gov/Services/TRM/ToolPage.aspx?tid=9405^","Image Lab Software")</f>
        <v>Image Lab Software</v>
      </c>
      <c r="B1192" s="4" t="s">
        <v>2891</v>
      </c>
      <c r="C1192" s="8" t="s">
        <v>5</v>
      </c>
      <c r="D1192" s="11" t="s">
        <v>5871</v>
      </c>
    </row>
    <row r="1193" spans="1:4" ht="30">
      <c r="A1193" s="5" t="str">
        <f>HYPERLINK("https://www.oit.va.gov/Services/TRM/ToolPage.aspx?tid=10653^","CFX Manager Software")</f>
        <v>CFX Manager Software</v>
      </c>
      <c r="B1193" s="4" t="s">
        <v>2891</v>
      </c>
      <c r="C1193" s="8" t="s">
        <v>5</v>
      </c>
      <c r="D1193" s="11" t="s">
        <v>2098</v>
      </c>
    </row>
    <row r="1194" spans="1:4" ht="30">
      <c r="A1194" s="5" t="str">
        <f>HYPERLINK("https://www.oit.va.gov/Services/TRM/ToolPage.aspx?tid=14743^","Prime Polymerase Chain Reaction (PrimePCR) Analysis Software")</f>
        <v>Prime Polymerase Chain Reaction (PrimePCR) Analysis Software</v>
      </c>
      <c r="B1194" s="4" t="s">
        <v>2891</v>
      </c>
      <c r="C1194" s="8" t="s">
        <v>5</v>
      </c>
      <c r="D1194" s="11" t="s">
        <v>1196</v>
      </c>
    </row>
    <row r="1195" spans="1:4" ht="30">
      <c r="A1195" s="5" t="str">
        <f>HYPERLINK("https://www.oit.va.gov/Services/TRM/ToolPage.aspx?tid=7288^","Quantity One 1-D Analysis Software")</f>
        <v>Quantity One 1-D Analysis Software</v>
      </c>
      <c r="B1195" s="4" t="s">
        <v>2891</v>
      </c>
      <c r="C1195" s="8" t="s">
        <v>5</v>
      </c>
      <c r="D1195" s="11" t="s">
        <v>7051</v>
      </c>
    </row>
    <row r="1196" spans="1:4" ht="30">
      <c r="A1196" s="5" t="str">
        <f>HYPERLINK("https://www.oit.va.gov/Services/TRM/ToolPage.aspx?tid=16649^","Serial Data Communication (SEDACOM)")</f>
        <v>Serial Data Communication (SEDACOM)</v>
      </c>
      <c r="B1196" s="4" t="s">
        <v>4779</v>
      </c>
      <c r="C1196" s="8" t="s">
        <v>5</v>
      </c>
      <c r="D1196" s="11" t="s">
        <v>4780</v>
      </c>
    </row>
    <row r="1197" spans="1:4" ht="30">
      <c r="A1197" s="5" t="str">
        <f>HYPERLINK("https://www.oit.va.gov/Services/TRM/ToolPage.aspx?tid=16170^","Biotronik Electric Health Record (EHR) DataSync Adapter")</f>
        <v>Biotronik Electric Health Record (EHR) DataSync Adapter</v>
      </c>
      <c r="B1197" s="4" t="s">
        <v>7556</v>
      </c>
      <c r="C1197" s="8" t="s">
        <v>5</v>
      </c>
      <c r="D1197" s="11" t="s">
        <v>7557</v>
      </c>
    </row>
    <row r="1198" spans="1:4" ht="30">
      <c r="A1198" s="5" t="str">
        <f>HYPERLINK("https://www.oit.va.gov/Services/TRM/ToolPage.aspx?tid=6130^","Screen Pass")</f>
        <v>Screen Pass</v>
      </c>
      <c r="B1198" s="4" t="s">
        <v>8598</v>
      </c>
      <c r="C1198" s="8" t="s">
        <v>5</v>
      </c>
      <c r="D1198" s="11" t="s">
        <v>1215</v>
      </c>
    </row>
    <row r="1199" spans="1:4" ht="30">
      <c r="A1199" s="5" t="str">
        <f>HYPERLINK("https://www.oit.va.gov/Services/TRM/ToolPage.aspx?tid=7670^","Biscom FAXCOM Suite for Windows")</f>
        <v>Biscom FAXCOM Suite for Windows</v>
      </c>
      <c r="B1199" s="4" t="s">
        <v>2411</v>
      </c>
      <c r="C1199" s="8" t="s">
        <v>5</v>
      </c>
      <c r="D1199" s="11" t="s">
        <v>2412</v>
      </c>
    </row>
    <row r="1200" spans="1:4" ht="30">
      <c r="A1200" s="5" t="str">
        <f>HYPERLINK("https://www.oit.va.gov/Services/TRM/ToolPage.aspx?tid=7669^","Biscom FAXCOM Server Software")</f>
        <v>Biscom FAXCOM Server Software</v>
      </c>
      <c r="B1200" s="4" t="s">
        <v>2411</v>
      </c>
      <c r="C1200" s="8" t="s">
        <v>5</v>
      </c>
      <c r="D1200" s="11" t="s">
        <v>672</v>
      </c>
    </row>
    <row r="1201" spans="1:4" ht="30">
      <c r="A1201" s="5" t="str">
        <f>HYPERLINK("https://www.oit.va.gov/Services/TRM/ToolPage.aspx?tid=14557^","Biscom Secure File Transfer (SFT)")</f>
        <v>Biscom Secure File Transfer (SFT)</v>
      </c>
      <c r="B1201" s="4" t="s">
        <v>2411</v>
      </c>
      <c r="C1201" s="8" t="s">
        <v>5</v>
      </c>
      <c r="D1201" s="11" t="s">
        <v>3822</v>
      </c>
    </row>
    <row r="1202" spans="1:4" ht="30">
      <c r="A1202" s="5" t="str">
        <f>HYPERLINK("https://www.oit.va.gov/Services/TRM/ToolPage.aspx?tid=14933^","Biscom WebFax")</f>
        <v>Biscom WebFax</v>
      </c>
      <c r="B1202" s="4" t="s">
        <v>2411</v>
      </c>
      <c r="C1202" s="8" t="s">
        <v>5</v>
      </c>
      <c r="D1202" s="11" t="s">
        <v>7558</v>
      </c>
    </row>
    <row r="1203" spans="1:4" ht="30">
      <c r="A1203" s="5" t="str">
        <f>HYPERLINK("https://www.oit.va.gov/Services/TRM/ToolPage.aspx?tid=9955^","Enj")</f>
        <v>Enj</v>
      </c>
      <c r="B1203" s="4" t="s">
        <v>5175</v>
      </c>
      <c r="C1203" s="8" t="s">
        <v>5</v>
      </c>
      <c r="D1203" s="11" t="s">
        <v>5176</v>
      </c>
    </row>
    <row r="1204" spans="1:4" ht="30">
      <c r="A1204" s="5" t="str">
        <f>HYPERLINK("https://www.oit.va.gov/Services/TRM/ToolPage.aspx?tid=15000^","Bitcentral Central Control")</f>
        <v>Bitcentral Central Control</v>
      </c>
      <c r="B1204" s="4" t="s">
        <v>7559</v>
      </c>
      <c r="C1204" s="8" t="s">
        <v>5</v>
      </c>
      <c r="D1204" s="11" t="s">
        <v>7560</v>
      </c>
    </row>
    <row r="1205" spans="1:4" ht="30">
      <c r="A1205" s="5" t="str">
        <f>HYPERLINK("https://www.oit.va.gov/Services/TRM/ToolPage.aspx?tid=13369^","Bitdefender Total Security")</f>
        <v>Bitdefender Total Security</v>
      </c>
      <c r="B1205" s="4" t="s">
        <v>3173</v>
      </c>
      <c r="C1205" s="8" t="s">
        <v>5</v>
      </c>
      <c r="D1205" s="11" t="s">
        <v>1300</v>
      </c>
    </row>
    <row r="1206" spans="1:4" ht="30">
      <c r="A1206" s="5" t="str">
        <f>HYPERLINK("https://www.oit.va.gov/Services/TRM/ToolPage.aspx?tid=14384^","BitRecover Mail Message (MSG) to Portable Document File (PDF) Wizard")</f>
        <v>BitRecover Mail Message (MSG) to Portable Document File (PDF) Wizard</v>
      </c>
      <c r="B1206" s="4" t="s">
        <v>5682</v>
      </c>
      <c r="C1206" s="8" t="s">
        <v>5</v>
      </c>
      <c r="D1206" s="11" t="s">
        <v>5683</v>
      </c>
    </row>
    <row r="1207" spans="1:4" ht="30">
      <c r="A1207" s="5" t="str">
        <f>HYPERLINK("https://www.oit.va.gov/Services/TRM/ToolPage.aspx?tid=11439^","PraediCare")</f>
        <v>PraediCare</v>
      </c>
      <c r="B1207" s="4" t="s">
        <v>4642</v>
      </c>
      <c r="C1207" s="8" t="s">
        <v>5</v>
      </c>
      <c r="D1207" s="11" t="s">
        <v>2845</v>
      </c>
    </row>
    <row r="1208" spans="1:4" ht="30">
      <c r="A1208" s="5" t="str">
        <f>HYPERLINK("https://www.oit.va.gov/Services/TRM/ToolPage.aspx?tid=13232^","PraediAlert")</f>
        <v>PraediAlert</v>
      </c>
      <c r="B1208" s="4" t="s">
        <v>4642</v>
      </c>
      <c r="C1208" s="8" t="s">
        <v>5</v>
      </c>
      <c r="D1208" s="11" t="s">
        <v>1716</v>
      </c>
    </row>
    <row r="1209" spans="1:4" ht="30">
      <c r="A1209" s="5" t="str">
        <f>HYPERLINK("https://www.oit.va.gov/Services/TRM/ToolPage.aspx?tid=9199^","Praedico Data Platform (PDaP)")</f>
        <v>Praedico Data Platform (PDaP)</v>
      </c>
      <c r="B1209" s="4" t="s">
        <v>4642</v>
      </c>
      <c r="C1209" s="8" t="s">
        <v>5</v>
      </c>
      <c r="D1209" s="11" t="s">
        <v>3645</v>
      </c>
    </row>
    <row r="1210" spans="1:4" ht="30">
      <c r="A1210" s="5" t="str">
        <f>HYPERLINK("https://www.oit.va.gov/Services/TRM/ToolPage.aspx?tid=15154^","PraediTrial")</f>
        <v>PraediTrial</v>
      </c>
      <c r="B1210" s="4" t="s">
        <v>4642</v>
      </c>
      <c r="C1210" s="8" t="s">
        <v>5</v>
      </c>
      <c r="D1210" s="11" t="s">
        <v>4724</v>
      </c>
    </row>
    <row r="1211" spans="1:4" ht="30">
      <c r="A1211" s="5" t="str">
        <f>HYPERLINK("https://www.oit.va.gov/Services/TRM/ToolPage.aspx?tid=8712^","Praedico Biosurveillance")</f>
        <v>Praedico Biosurveillance</v>
      </c>
      <c r="B1211" s="4" t="s">
        <v>4642</v>
      </c>
      <c r="C1211" s="8" t="s">
        <v>5</v>
      </c>
      <c r="D1211" s="11" t="s">
        <v>8470</v>
      </c>
    </row>
    <row r="1212" spans="1:4" ht="30">
      <c r="A1212" s="5" t="str">
        <f>HYPERLINK("https://www.oit.va.gov/Services/TRM/ToolPage.aspx?tid=10414^","PraediGene")</f>
        <v>PraediGene</v>
      </c>
      <c r="B1212" s="4" t="s">
        <v>249</v>
      </c>
      <c r="C1212" s="8" t="s">
        <v>5</v>
      </c>
      <c r="D1212" s="11" t="s">
        <v>250</v>
      </c>
    </row>
    <row r="1213" spans="1:4" ht="30">
      <c r="A1213" s="5" t="str">
        <f>HYPERLINK("https://www.oit.va.gov/Services/TRM/ToolPage.aspx?tid=13364^","Personal Knowbase")</f>
        <v>Personal Knowbase</v>
      </c>
      <c r="B1213" s="4" t="s">
        <v>8422</v>
      </c>
      <c r="C1213" s="8" t="s">
        <v>5</v>
      </c>
      <c r="D1213" s="11" t="s">
        <v>7453</v>
      </c>
    </row>
    <row r="1214" spans="1:4" ht="30">
      <c r="A1214" s="5" t="str">
        <f>HYPERLINK("https://www.oit.va.gov/Services/TRM/ToolPage.aspx?tid=14222^","Process Lasso")</f>
        <v>Process Lasso</v>
      </c>
      <c r="B1214" s="4" t="s">
        <v>8483</v>
      </c>
      <c r="C1214" s="8" t="s">
        <v>5</v>
      </c>
      <c r="D1214" s="11" t="s">
        <v>7181</v>
      </c>
    </row>
    <row r="1215" spans="1:4" ht="30">
      <c r="A1215" s="5" t="str">
        <f>HYPERLINK("https://www.oit.va.gov/Services/TRM/ToolPage.aspx?tid=14785^","Faros Manager Software")</f>
        <v>Faros Manager Software</v>
      </c>
      <c r="B1215" s="4" t="s">
        <v>2587</v>
      </c>
      <c r="C1215" s="8" t="s">
        <v>5</v>
      </c>
      <c r="D1215" s="11" t="s">
        <v>2490</v>
      </c>
    </row>
    <row r="1216" spans="1:4" ht="30">
      <c r="A1216" s="5" t="str">
        <f>HYPERLINK("https://www.oit.va.gov/Services/TRM/ToolPage.aspx?tid=13371^","uTorrent")</f>
        <v>uTorrent</v>
      </c>
      <c r="B1216" s="4" t="s">
        <v>7278</v>
      </c>
      <c r="C1216" s="8" t="s">
        <v>5</v>
      </c>
      <c r="D1216" s="11" t="s">
        <v>7279</v>
      </c>
    </row>
    <row r="1217" spans="1:4" ht="30">
      <c r="A1217" s="5" t="str">
        <f>HYPERLINK("https://www.oit.va.gov/Services/TRM/ToolPage.aspx?tid=13478^","Bitvise SSH Server")</f>
        <v>Bitvise SSH Server</v>
      </c>
      <c r="B1217" s="4" t="s">
        <v>6343</v>
      </c>
      <c r="C1217" s="8" t="s">
        <v>5</v>
      </c>
      <c r="D1217" s="11" t="s">
        <v>6344</v>
      </c>
    </row>
    <row r="1218" spans="1:4" ht="30">
      <c r="A1218" s="5" t="str">
        <f>HYPERLINK("https://www.oit.va.gov/Services/TRM/ToolPage.aspx?tid=6946^","BizFlow Plus Business Process Management (BPM) Suite")</f>
        <v>BizFlow Plus Business Process Management (BPM) Suite</v>
      </c>
      <c r="B1218" s="4" t="s">
        <v>5072</v>
      </c>
      <c r="C1218" s="8" t="s">
        <v>5</v>
      </c>
      <c r="D1218" s="11" t="s">
        <v>2468</v>
      </c>
    </row>
    <row r="1219" spans="1:4" ht="30">
      <c r="A1219" s="5" t="str">
        <f>HYPERLINK("https://www.oit.va.gov/Services/TRM/ToolPage.aspx?tid=13301^","Business in a Box")</f>
        <v>Business in a Box</v>
      </c>
      <c r="B1219" s="4" t="s">
        <v>7588</v>
      </c>
      <c r="C1219" s="8" t="s">
        <v>5</v>
      </c>
      <c r="D1219" s="11" t="s">
        <v>3275</v>
      </c>
    </row>
    <row r="1220" spans="1:4" ht="30">
      <c r="A1220" s="5" t="str">
        <f>HYPERLINK("https://www.oit.va.gov/Services/TRM/ToolPage.aspx?tid=7487^","iStat Menus")</f>
        <v>iStat Menus</v>
      </c>
      <c r="B1220" s="4" t="s">
        <v>6738</v>
      </c>
      <c r="C1220" s="8" t="s">
        <v>5</v>
      </c>
      <c r="D1220" s="11" t="s">
        <v>1645</v>
      </c>
    </row>
    <row r="1221" spans="1:4" ht="30">
      <c r="A1221" s="5" t="str">
        <f>HYPERLINK("https://www.oit.va.gov/Services/TRM/ToolPage.aspx?tid=8008^","KNG Editor")</f>
        <v>KNG Editor</v>
      </c>
      <c r="B1221" s="4" t="s">
        <v>6194</v>
      </c>
      <c r="C1221" s="8" t="s">
        <v>5</v>
      </c>
      <c r="D1221" s="11" t="s">
        <v>6195</v>
      </c>
    </row>
    <row r="1222" spans="1:4" ht="30">
      <c r="A1222" s="5" t="str">
        <f>HYPERLINK("https://www.oit.va.gov/Services/TRM/ToolPage.aspx?tid=15661^","Black Box Emerald Remote App")</f>
        <v>Black Box Emerald Remote App</v>
      </c>
      <c r="B1222" s="4" t="s">
        <v>7561</v>
      </c>
      <c r="C1222" s="8" t="s">
        <v>5</v>
      </c>
      <c r="D1222" s="11" t="s">
        <v>7562</v>
      </c>
    </row>
    <row r="1223" spans="1:4" ht="30">
      <c r="A1223" s="5" t="str">
        <f>HYPERLINK("https://www.oit.va.gov/Services/TRM/ToolPage.aspx?tid=12862^","Tagged Image File Format (TIFF) Document Converter")</f>
        <v>Tagged Image File Format (TIFF) Document Converter</v>
      </c>
      <c r="B1223" s="4" t="s">
        <v>4888</v>
      </c>
      <c r="C1223" s="8" t="s">
        <v>5</v>
      </c>
      <c r="D1223" s="11" t="s">
        <v>4662</v>
      </c>
    </row>
    <row r="1224" spans="1:4" ht="30">
      <c r="A1224" s="5" t="str">
        <f>HYPERLINK("https://www.oit.va.gov/Services/TRM/ToolPage.aspx?tid=13629^","Kaleidoscope")</f>
        <v>Kaleidoscope</v>
      </c>
      <c r="B1224" s="4" t="s">
        <v>8138</v>
      </c>
      <c r="C1224" s="8" t="s">
        <v>5</v>
      </c>
      <c r="D1224" s="11" t="s">
        <v>8061</v>
      </c>
    </row>
    <row r="1225" spans="1:4" ht="30">
      <c r="A1225" s="5" t="str">
        <f>HYPERLINK("https://www.oit.va.gov/Services/TRM/ToolPage.aspx?tid=9764^","Financial Edge NXT")</f>
        <v>Financial Edge NXT</v>
      </c>
      <c r="B1225" s="4" t="s">
        <v>518</v>
      </c>
      <c r="C1225" s="8" t="s">
        <v>5</v>
      </c>
      <c r="D1225" s="11" t="s">
        <v>519</v>
      </c>
    </row>
    <row r="1226" spans="1:4" ht="30">
      <c r="A1226" s="5" t="str">
        <f>HYPERLINK("https://www.oit.va.gov/Services/TRM/ToolPage.aspx?tid=14556^","Blackbaud Grantmaking (GIFTS)")</f>
        <v>Blackbaud Grantmaking (GIFTS)</v>
      </c>
      <c r="B1226" s="4" t="s">
        <v>518</v>
      </c>
      <c r="C1226" s="8" t="s">
        <v>5</v>
      </c>
      <c r="D1226" s="11" t="s">
        <v>1367</v>
      </c>
    </row>
    <row r="1227" spans="1:4" ht="30">
      <c r="A1227" s="5" t="str">
        <f>HYPERLINK("https://www.oit.va.gov/Services/TRM/ToolPage.aspx?tid=5885^","BlackBerry AtHoc")</f>
        <v>BlackBerry AtHoc</v>
      </c>
      <c r="B1227" s="4" t="s">
        <v>1368</v>
      </c>
      <c r="C1227" s="8" t="s">
        <v>5</v>
      </c>
      <c r="D1227" s="11" t="s">
        <v>1369</v>
      </c>
    </row>
    <row r="1228" spans="1:4" ht="30">
      <c r="A1228" s="5" t="str">
        <f>HYPERLINK("https://www.oit.va.gov/Services/TRM/ToolPage.aspx?tid=13787^","BlackBerry Unified Endpoint Manager (UEM) (Mobile)")</f>
        <v>BlackBerry Unified Endpoint Manager (UEM) (Mobile)</v>
      </c>
      <c r="B1228" s="4" t="s">
        <v>1368</v>
      </c>
      <c r="C1228" s="8" t="s">
        <v>5</v>
      </c>
      <c r="D1228" s="11" t="s">
        <v>3176</v>
      </c>
    </row>
    <row r="1229" spans="1:4" ht="30">
      <c r="A1229" s="5" t="str">
        <f>HYPERLINK("https://www.oit.va.gov/Services/TRM/ToolPage.aspx?tid=13455^","BlackBerry Device Simulators")</f>
        <v>BlackBerry Device Simulators</v>
      </c>
      <c r="B1229" s="4" t="s">
        <v>1368</v>
      </c>
      <c r="C1229" s="8" t="s">
        <v>5</v>
      </c>
      <c r="D1229" s="11" t="s">
        <v>2356</v>
      </c>
    </row>
    <row r="1230" spans="1:4" ht="30">
      <c r="A1230" s="5" t="str">
        <f>HYPERLINK("https://www.oit.va.gov/Services/TRM/ToolPage.aspx?tid=8726^","BlackBerry Enterprise Server")</f>
        <v>BlackBerry Enterprise Server</v>
      </c>
      <c r="B1230" s="4" t="s">
        <v>1368</v>
      </c>
      <c r="C1230" s="8" t="s">
        <v>5</v>
      </c>
      <c r="D1230" s="11" t="s">
        <v>6345</v>
      </c>
    </row>
    <row r="1231" spans="1:4" ht="30">
      <c r="A1231" s="5" t="str">
        <f>HYPERLINK("https://www.oit.va.gov/Services/TRM/ToolPage.aspx?tid=13242^","Blackberry Workspaces")</f>
        <v>Blackberry Workspaces</v>
      </c>
      <c r="B1231" s="4" t="s">
        <v>1368</v>
      </c>
      <c r="C1231" s="8" t="s">
        <v>5</v>
      </c>
      <c r="D1231" s="11" t="s">
        <v>6346</v>
      </c>
    </row>
    <row r="1232" spans="1:4" ht="30">
      <c r="A1232" s="5" t="str">
        <f>HYPERLINK("https://www.oit.va.gov/Services/TRM/ToolPage.aspx?tid=5583^","BlackBerry Desktop Software")</f>
        <v>BlackBerry Desktop Software</v>
      </c>
      <c r="B1232" s="4" t="s">
        <v>1368</v>
      </c>
      <c r="C1232" s="8" t="s">
        <v>5</v>
      </c>
      <c r="D1232" s="11" t="s">
        <v>3142</v>
      </c>
    </row>
    <row r="1233" spans="1:4" ht="30">
      <c r="A1233" s="5" t="str">
        <f>HYPERLINK("https://www.oit.va.gov/Services/TRM/ToolPage.aspx?tid=13382^","Blackberry Media Sync")</f>
        <v>Blackberry Media Sync</v>
      </c>
      <c r="B1233" s="4" t="s">
        <v>1368</v>
      </c>
      <c r="C1233" s="8" t="s">
        <v>5</v>
      </c>
      <c r="D1233" s="11" t="s">
        <v>7563</v>
      </c>
    </row>
    <row r="1234" spans="1:4" ht="30">
      <c r="A1234" s="5" t="str">
        <f>HYPERLINK("https://www.oit.va.gov/Services/TRM/ToolPage.aspx?tid=13441^","Blend")</f>
        <v>Blend</v>
      </c>
      <c r="B1234" s="4" t="s">
        <v>1368</v>
      </c>
      <c r="C1234" s="8" t="s">
        <v>5</v>
      </c>
      <c r="D1234" s="11" t="s">
        <v>3237</v>
      </c>
    </row>
    <row r="1235" spans="1:4" ht="30">
      <c r="A1235" s="5" t="str">
        <f>HYPERLINK("https://www.oit.va.gov/Services/TRM/ToolPage.aspx?tid=13453^","Smart Card Reader Software")</f>
        <v>Smart Card Reader Software</v>
      </c>
      <c r="B1235" s="4" t="s">
        <v>1368</v>
      </c>
      <c r="C1235" s="8" t="s">
        <v>5</v>
      </c>
      <c r="D1235" s="11" t="s">
        <v>8674</v>
      </c>
    </row>
    <row r="1236" spans="1:4" ht="30">
      <c r="A1236" s="5" t="str">
        <f>HYPERLINK("https://www.oit.va.gov/Services/TRM/ToolPage.aspx?tid=7119^","Collaborate Plan")</f>
        <v>Collaborate Plan</v>
      </c>
      <c r="B1236" s="4" t="s">
        <v>2101</v>
      </c>
      <c r="C1236" s="8" t="s">
        <v>5</v>
      </c>
      <c r="D1236" s="11" t="s">
        <v>2102</v>
      </c>
    </row>
    <row r="1237" spans="1:4" ht="30">
      <c r="A1237" s="5" t="str">
        <f>HYPERLINK("https://www.oit.va.gov/Services/TRM/ToolPage.aspx?tid=8727^","Blackboard Collaborate Launcher")</f>
        <v>Blackboard Collaborate Launcher</v>
      </c>
      <c r="B1237" s="4" t="s">
        <v>2101</v>
      </c>
      <c r="C1237" s="8" t="s">
        <v>5</v>
      </c>
      <c r="D1237" s="11" t="s">
        <v>2227</v>
      </c>
    </row>
    <row r="1238" spans="1:4" ht="30">
      <c r="A1238" s="5" t="str">
        <f>HYPERLINK("https://www.oit.va.gov/Services/TRM/ToolPage.aspx?tid=13322^","Blackboard Diploma")</f>
        <v>Blackboard Diploma</v>
      </c>
      <c r="B1238" s="4" t="s">
        <v>2101</v>
      </c>
      <c r="C1238" s="8" t="s">
        <v>5</v>
      </c>
      <c r="D1238" s="11" t="s">
        <v>2228</v>
      </c>
    </row>
    <row r="1239" spans="1:4" ht="30">
      <c r="A1239" s="5" t="str">
        <f>HYPERLINK("https://www.oit.va.gov/Services/TRM/ToolPage.aspx?tid=14964^","Internet Explorer (IE) Tab for Chrome")</f>
        <v>Internet Explorer (IE) Tab for Chrome</v>
      </c>
      <c r="B1239" s="4" t="s">
        <v>2261</v>
      </c>
      <c r="C1239" s="8" t="s">
        <v>5</v>
      </c>
      <c r="D1239" s="11" t="s">
        <v>2262</v>
      </c>
    </row>
    <row r="1240" spans="1:4" ht="30">
      <c r="A1240" s="5" t="str">
        <f>HYPERLINK("https://www.oit.va.gov/Services/TRM/ToolPage.aspx?tid=16647^","Internet Explorer (IE) Tab Microsoft Edge Add-on")</f>
        <v>Internet Explorer (IE) Tab Microsoft Edge Add-on</v>
      </c>
      <c r="B1240" s="4" t="s">
        <v>2261</v>
      </c>
      <c r="C1240" s="8" t="s">
        <v>5</v>
      </c>
      <c r="D1240" s="11" t="s">
        <v>2263</v>
      </c>
    </row>
    <row r="1241" spans="1:4" ht="30">
      <c r="A1241" s="5" t="str">
        <f>HYPERLINK("https://www.oit.va.gov/Services/TRM/ToolPage.aspx?tid=16683^","Blackford Platform")</f>
        <v>Blackford Platform</v>
      </c>
      <c r="B1241" s="4" t="s">
        <v>5684</v>
      </c>
      <c r="C1241" s="8" t="s">
        <v>5</v>
      </c>
      <c r="D1241" s="11" t="s">
        <v>5685</v>
      </c>
    </row>
    <row r="1242" spans="1:4" ht="30">
      <c r="A1242" s="5" t="str">
        <f>HYPERLINK("https://www.oit.va.gov/Services/TRM/ToolPage.aspx?tid=16043^","Blackmagic Design ATEM Switcher Software")</f>
        <v>Blackmagic Design ATEM Switcher Software</v>
      </c>
      <c r="B1242" s="4" t="s">
        <v>2414</v>
      </c>
      <c r="C1242" s="8" t="s">
        <v>5</v>
      </c>
      <c r="D1242" s="11" t="s">
        <v>2415</v>
      </c>
    </row>
    <row r="1243" spans="1:4" ht="30">
      <c r="A1243" s="5" t="str">
        <f>HYPERLINK("https://www.oit.va.gov/Services/TRM/ToolPage.aspx?tid=15819^","DaVinci Resolve")</f>
        <v>DaVinci Resolve</v>
      </c>
      <c r="B1243" s="4" t="s">
        <v>2414</v>
      </c>
      <c r="C1243" s="8" t="s">
        <v>5</v>
      </c>
      <c r="D1243" s="11" t="s">
        <v>2222</v>
      </c>
    </row>
    <row r="1244" spans="1:4" ht="30">
      <c r="A1244" s="5" t="str">
        <f>HYPERLINK("https://www.oit.va.gov/Services/TRM/ToolPage.aspx?tid=9662^","Desktop Video")</f>
        <v>Desktop Video</v>
      </c>
      <c r="B1244" s="4" t="s">
        <v>2414</v>
      </c>
      <c r="C1244" s="8" t="s">
        <v>5</v>
      </c>
      <c r="D1244" s="11" t="s">
        <v>5139</v>
      </c>
    </row>
    <row r="1245" spans="1:4" ht="30">
      <c r="A1245" s="5" t="str">
        <f>HYPERLINK("https://www.oit.va.gov/Services/TRM/ToolPage.aspx?tid=9903^","Linx")</f>
        <v>Linx</v>
      </c>
      <c r="B1245" s="4" t="s">
        <v>4362</v>
      </c>
      <c r="C1245" s="8" t="s">
        <v>5</v>
      </c>
      <c r="D1245" s="11" t="s">
        <v>4363</v>
      </c>
    </row>
    <row r="1246" spans="1:4" ht="30">
      <c r="A1246" s="5" t="str">
        <f>HYPERLINK("https://www.oit.va.gov/Services/TRM/ToolPage.aspx?tid=9909^","Elan Software")</f>
        <v>Elan Software</v>
      </c>
      <c r="B1246" s="4" t="s">
        <v>4362</v>
      </c>
      <c r="C1246" s="8" t="s">
        <v>5</v>
      </c>
      <c r="D1246" s="11" t="s">
        <v>2569</v>
      </c>
    </row>
    <row r="1247" spans="1:4" ht="30">
      <c r="A1247" s="5" t="str">
        <f>HYPERLINK("https://www.oit.va.gov/Services/TRM/ToolPage.aspx?tid=11158^","ExtraPuTTY")</f>
        <v>ExtraPuTTY</v>
      </c>
      <c r="B1247" s="4" t="s">
        <v>7905</v>
      </c>
      <c r="C1247" s="8" t="s">
        <v>5</v>
      </c>
      <c r="D1247" s="11" t="s">
        <v>3207</v>
      </c>
    </row>
    <row r="1248" spans="1:4" ht="30">
      <c r="A1248" s="5" t="str">
        <f>HYPERLINK("https://www.oit.va.gov/Services/TRM/ToolPage.aspx?tid=16688^","Secure Browser by Blaze")</f>
        <v>Secure Browser by Blaze</v>
      </c>
      <c r="B1248" s="4" t="s">
        <v>8607</v>
      </c>
      <c r="C1248" s="8" t="s">
        <v>5</v>
      </c>
      <c r="D1248" s="11" t="s">
        <v>8608</v>
      </c>
    </row>
    <row r="1249" spans="1:4" ht="30">
      <c r="A1249" s="5" t="str">
        <f>HYPERLINK("https://www.oit.va.gov/Services/TRM/ToolPage.aspx?tid=15169^","Blazemeter")</f>
        <v>Blazemeter</v>
      </c>
      <c r="B1249" s="4" t="s">
        <v>3840</v>
      </c>
      <c r="C1249" s="8" t="s">
        <v>5</v>
      </c>
      <c r="D1249" s="11" t="s">
        <v>1299</v>
      </c>
    </row>
    <row r="1250" spans="1:4" ht="30">
      <c r="A1250" s="5" t="str">
        <f>HYPERLINK("https://www.oit.va.gov/Services/TRM/ToolPage.aspx?tid=13287^","BlazeDVD")</f>
        <v>BlazeDVD</v>
      </c>
      <c r="B1250" s="4" t="s">
        <v>7565</v>
      </c>
      <c r="C1250" s="8" t="s">
        <v>5</v>
      </c>
      <c r="D1250" s="11" t="s">
        <v>7464</v>
      </c>
    </row>
    <row r="1251" spans="1:4" ht="30">
      <c r="A1251" s="5" t="str">
        <f>HYPERLINK("https://www.oit.va.gov/Services/TRM/ToolPage.aspx?tid=14103^","BleachBit")</f>
        <v>BleachBit</v>
      </c>
      <c r="B1251" s="4" t="s">
        <v>7566</v>
      </c>
      <c r="C1251" s="8" t="s">
        <v>5</v>
      </c>
      <c r="D1251" s="11" t="s">
        <v>7567</v>
      </c>
    </row>
    <row r="1252" spans="1:4" ht="30">
      <c r="A1252" s="5" t="str">
        <f>HYPERLINK("https://www.oit.va.gov/Services/TRM/ToolPage.aspx?tid=10898^","Blender")</f>
        <v>Blender</v>
      </c>
      <c r="B1252" s="4" t="s">
        <v>6347</v>
      </c>
      <c r="C1252" s="8" t="s">
        <v>5</v>
      </c>
      <c r="D1252" s="11" t="s">
        <v>6348</v>
      </c>
    </row>
    <row r="1253" spans="1:4" ht="30">
      <c r="A1253" s="5" t="str">
        <f>HYPERLINK("https://www.oit.va.gov/Services/TRM/ToolPage.aspx?tid=13092^","EngageOne Output Manager")</f>
        <v>EngageOne Output Manager</v>
      </c>
      <c r="B1253" s="4" t="s">
        <v>7863</v>
      </c>
      <c r="C1253" s="8" t="s">
        <v>5</v>
      </c>
      <c r="D1253" s="11" t="s">
        <v>4189</v>
      </c>
    </row>
    <row r="1254" spans="1:4" ht="30">
      <c r="A1254" s="5" t="str">
        <f>HYPERLINK("https://www.oit.va.gov/Services/TRM/ToolPage.aspx?tid=9247^","BlueJeans Browser Extension")</f>
        <v>BlueJeans Browser Extension</v>
      </c>
      <c r="B1254" s="4" t="s">
        <v>6351</v>
      </c>
      <c r="C1254" s="8" t="s">
        <v>5</v>
      </c>
      <c r="D1254" s="11" t="s">
        <v>514</v>
      </c>
    </row>
    <row r="1255" spans="1:4" ht="30">
      <c r="A1255" s="5" t="str">
        <f>HYPERLINK("https://www.oit.va.gov/Services/TRM/ToolPage.aspx?tid=15293^","Blue Prism Enterprise")</f>
        <v>Blue Prism Enterprise</v>
      </c>
      <c r="B1255" s="4" t="s">
        <v>591</v>
      </c>
      <c r="C1255" s="8" t="s">
        <v>5</v>
      </c>
      <c r="D1255" s="11" t="s">
        <v>592</v>
      </c>
    </row>
    <row r="1256" spans="1:4" ht="30">
      <c r="A1256" s="5" t="str">
        <f>HYPERLINK("https://www.oit.va.gov/Services/TRM/ToolPage.aspx?tid=11410^","Blue Sky Plan")</f>
        <v>Blue Sky Plan</v>
      </c>
      <c r="B1256" s="4" t="s">
        <v>1148</v>
      </c>
      <c r="C1256" s="8" t="s">
        <v>5</v>
      </c>
      <c r="D1256" s="11" t="s">
        <v>942</v>
      </c>
    </row>
    <row r="1257" spans="1:4" ht="30">
      <c r="A1257" s="5" t="str">
        <f>HYPERLINK("https://www.oit.va.gov/Services/TRM/ToolPage.aspx?tid=16224^","Blue Sky Statistics")</f>
        <v>Blue Sky Statistics</v>
      </c>
      <c r="B1257" s="4" t="s">
        <v>3844</v>
      </c>
      <c r="C1257" s="8" t="s">
        <v>5</v>
      </c>
      <c r="D1257" s="11" t="s">
        <v>3845</v>
      </c>
    </row>
    <row r="1258" spans="1:4" ht="30">
      <c r="A1258" s="5" t="str">
        <f>HYPERLINK("https://www.oit.va.gov/Services/TRM/ToolPage.aspx?tid=13522^","Corel Draw (CDR) Viewer")</f>
        <v>Corel Draw (CDR) Viewer</v>
      </c>
      <c r="B1258" s="4" t="s">
        <v>7705</v>
      </c>
      <c r="C1258" s="8" t="s">
        <v>5</v>
      </c>
      <c r="D1258" s="11" t="s">
        <v>7646</v>
      </c>
    </row>
    <row r="1259" spans="1:4" ht="30">
      <c r="A1259" s="5" t="str">
        <f>HYPERLINK("https://www.oit.va.gov/Services/TRM/ToolPage.aspx?tid=7283^","Bluebeam Revu")</f>
        <v>Bluebeam Revu</v>
      </c>
      <c r="B1259" s="4" t="s">
        <v>2416</v>
      </c>
      <c r="C1259" s="8" t="s">
        <v>5</v>
      </c>
      <c r="D1259" s="11" t="s">
        <v>2417</v>
      </c>
    </row>
    <row r="1260" spans="1:4" ht="30">
      <c r="A1260" s="5" t="str">
        <f>HYPERLINK("https://www.oit.va.gov/Services/TRM/ToolPage.aspx?tid=13679^","FlashBack")</f>
        <v>FlashBack</v>
      </c>
      <c r="B1260" s="4" t="s">
        <v>6616</v>
      </c>
      <c r="C1260" s="8" t="s">
        <v>5</v>
      </c>
      <c r="D1260" s="11" t="s">
        <v>3643</v>
      </c>
    </row>
    <row r="1261" spans="1:4" ht="30">
      <c r="A1261" s="5" t="str">
        <f>HYPERLINK("https://www.oit.va.gov/Services/TRM/ToolPage.aspx?tid=13438^","Meridian Enterprise")</f>
        <v>Meridian Enterprise</v>
      </c>
      <c r="B1261" s="4" t="s">
        <v>6850</v>
      </c>
      <c r="C1261" s="8" t="s">
        <v>5</v>
      </c>
      <c r="D1261" s="11" t="s">
        <v>6814</v>
      </c>
    </row>
    <row r="1262" spans="1:4" ht="30">
      <c r="A1262" s="5" t="str">
        <f>HYPERLINK("https://www.oit.va.gov/Services/TRM/ToolPage.aspx?tid=7930^","Blueforce Command Center")</f>
        <v>Blueforce Command Center</v>
      </c>
      <c r="B1262" s="4" t="s">
        <v>7568</v>
      </c>
      <c r="C1262" s="8" t="s">
        <v>5</v>
      </c>
      <c r="D1262" s="11" t="s">
        <v>7569</v>
      </c>
    </row>
    <row r="1263" spans="1:4" ht="30">
      <c r="A1263" s="5" t="str">
        <f>HYPERLINK("https://www.oit.va.gov/Services/TRM/ToolPage.aspx?tid=13528^","JetClean")</f>
        <v>JetClean</v>
      </c>
      <c r="B1263" s="4" t="s">
        <v>8126</v>
      </c>
      <c r="C1263" s="8" t="s">
        <v>5</v>
      </c>
      <c r="D1263" s="11" t="s">
        <v>6233</v>
      </c>
    </row>
    <row r="1264" spans="1:4" ht="30">
      <c r="A1264" s="5" t="str">
        <f>HYPERLINK("https://www.oit.va.gov/Services/TRM/ToolPage.aspx?tid=15208^","BlueStacks")</f>
        <v>BlueStacks</v>
      </c>
      <c r="B1264" s="4" t="s">
        <v>6354</v>
      </c>
      <c r="C1264" s="8" t="s">
        <v>5</v>
      </c>
      <c r="D1264" s="11" t="s">
        <v>6355</v>
      </c>
    </row>
    <row r="1265" spans="1:4" ht="30">
      <c r="A1265" s="5" t="str">
        <f>HYPERLINK("https://www.oit.va.gov/Services/TRM/ToolPage.aspx?tid=9206^","Knowledge Author")</f>
        <v>Knowledge Author</v>
      </c>
      <c r="B1265" s="4" t="s">
        <v>5300</v>
      </c>
      <c r="C1265" s="8" t="s">
        <v>5</v>
      </c>
      <c r="D1265" s="11" t="s">
        <v>5301</v>
      </c>
    </row>
    <row r="1266" spans="1:4" ht="30">
      <c r="A1266" s="5" t="str">
        <f>HYPERLINK("https://www.oit.va.gov/Services/TRM/ToolPage.aspx?tid=13564^","BookSmart")</f>
        <v>BookSmart</v>
      </c>
      <c r="B1266" s="4" t="s">
        <v>7573</v>
      </c>
      <c r="C1266" s="8" t="s">
        <v>5</v>
      </c>
      <c r="D1266" s="11" t="s">
        <v>2356</v>
      </c>
    </row>
    <row r="1267" spans="1:4" ht="30">
      <c r="A1267" s="5" t="str">
        <f>HYPERLINK("https://www.oit.va.gov/Services/TRM/ToolPage.aspx?tid=13569^","BookWright")</f>
        <v>BookWright</v>
      </c>
      <c r="B1267" s="4" t="s">
        <v>7573</v>
      </c>
      <c r="C1267" s="8" t="s">
        <v>5</v>
      </c>
      <c r="D1267" s="11" t="s">
        <v>7475</v>
      </c>
    </row>
    <row r="1268" spans="1:4" ht="30">
      <c r="A1268" s="5" t="str">
        <f>HYPERLINK("https://www.oit.va.gov/Services/TRM/ToolPage.aspx?tid=16433^","BMC AMI DevX Code Pipeline")</f>
        <v>BMC AMI DevX Code Pipeline</v>
      </c>
      <c r="B1268" s="4" t="s">
        <v>593</v>
      </c>
      <c r="C1268" s="8" t="s">
        <v>5</v>
      </c>
      <c r="D1268" s="11" t="s">
        <v>594</v>
      </c>
    </row>
    <row r="1269" spans="1:4" ht="30">
      <c r="A1269" s="5" t="str">
        <f>HYPERLINK("https://www.oit.va.gov/Services/TRM/ToolPage.aspx?tid=6579^","BMC TrueSight Capacity Optimization")</f>
        <v>BMC TrueSight Capacity Optimization</v>
      </c>
      <c r="B1269" s="4" t="s">
        <v>593</v>
      </c>
      <c r="C1269" s="8" t="s">
        <v>5</v>
      </c>
      <c r="D1269" s="11" t="s">
        <v>595</v>
      </c>
    </row>
    <row r="1270" spans="1:4" ht="30">
      <c r="A1270" s="5" t="str">
        <f>HYPERLINK("https://www.oit.va.gov/Services/TRM/ToolPage.aspx?tid=8406^","BMC AMI DevX Abend-AID for Customer Information Control System (CICS)")</f>
        <v>BMC AMI DevX Abend-AID for Customer Information Control System (CICS)</v>
      </c>
      <c r="B1270" s="4" t="s">
        <v>593</v>
      </c>
      <c r="C1270" s="8" t="s">
        <v>5</v>
      </c>
      <c r="D1270" s="11" t="s">
        <v>1372</v>
      </c>
    </row>
    <row r="1271" spans="1:4" ht="30">
      <c r="A1271" s="5" t="str">
        <f>HYPERLINK("https://www.oit.va.gov/Services/TRM/ToolPage.aspx?tid=9487^","BMC AMI DevX Workbench for Eclipse")</f>
        <v>BMC AMI DevX Workbench for Eclipse</v>
      </c>
      <c r="B1271" s="4" t="s">
        <v>593</v>
      </c>
      <c r="C1271" s="8" t="s">
        <v>5</v>
      </c>
      <c r="D1271" s="11" t="s">
        <v>1373</v>
      </c>
    </row>
    <row r="1272" spans="1:4" ht="30">
      <c r="A1272" s="5" t="str">
        <f>HYPERLINK("https://www.oit.va.gov/Services/TRM/ToolPage.aspx?tid=8575^","BMC AMI Storage UPSTREAM for z/OS Server")</f>
        <v>BMC AMI Storage UPSTREAM for z/OS Server</v>
      </c>
      <c r="B1272" s="4" t="s">
        <v>593</v>
      </c>
      <c r="C1272" s="8" t="s">
        <v>5</v>
      </c>
      <c r="D1272" s="11" t="s">
        <v>1374</v>
      </c>
    </row>
    <row r="1273" spans="1:4" ht="30">
      <c r="A1273" s="5" t="str">
        <f>HYPERLINK("https://www.oit.va.gov/Services/TRM/ToolPage.aspx?tid=5463^","BMC Automated Mainframe Intelligence (AMI) Ops Monitor for z/OS")</f>
        <v>BMC Automated Mainframe Intelligence (AMI) Ops Monitor for z/OS</v>
      </c>
      <c r="B1273" s="4" t="s">
        <v>593</v>
      </c>
      <c r="C1273" s="8" t="s">
        <v>5</v>
      </c>
      <c r="D1273" s="11" t="s">
        <v>1375</v>
      </c>
    </row>
    <row r="1274" spans="1:4" ht="30">
      <c r="A1274" s="5" t="str">
        <f>HYPERLINK("https://www.oit.va.gov/Services/TRM/ToolPage.aspx?tid=16560^","BMC Helix Continuous Optimization")</f>
        <v>BMC Helix Continuous Optimization</v>
      </c>
      <c r="B1274" s="4" t="s">
        <v>593</v>
      </c>
      <c r="C1274" s="8" t="s">
        <v>5</v>
      </c>
      <c r="D1274" s="11" t="s">
        <v>1376</v>
      </c>
    </row>
    <row r="1275" spans="1:4" ht="30">
      <c r="A1275" s="5" t="str">
        <f>HYPERLINK("https://www.oit.va.gov/Services/TRM/ToolPage.aspx?tid=5710^","Remedy")</f>
        <v>Remedy</v>
      </c>
      <c r="B1275" s="4" t="s">
        <v>593</v>
      </c>
      <c r="C1275" s="8" t="s">
        <v>5</v>
      </c>
      <c r="D1275" s="11" t="s">
        <v>1893</v>
      </c>
    </row>
    <row r="1276" spans="1:4" ht="30">
      <c r="A1276" s="5" t="str">
        <f>HYPERLINK("https://www.oit.va.gov/Services/TRM/ToolPage.aspx?tid=8582^","BMC AMI DevX File-AID")</f>
        <v>BMC AMI DevX File-AID</v>
      </c>
      <c r="B1276" s="4" t="s">
        <v>593</v>
      </c>
      <c r="C1276" s="8" t="s">
        <v>5</v>
      </c>
      <c r="D1276" s="11" t="s">
        <v>316</v>
      </c>
    </row>
    <row r="1277" spans="1:4" ht="30">
      <c r="A1277" s="5" t="str">
        <f>HYPERLINK("https://www.oit.va.gov/Services/TRM/ToolPage.aspx?tid=15051^","StreamWeaver")</f>
        <v>StreamWeaver</v>
      </c>
      <c r="B1277" s="4" t="s">
        <v>593</v>
      </c>
      <c r="C1277" s="8" t="s">
        <v>5</v>
      </c>
      <c r="D1277" s="11" t="s">
        <v>326</v>
      </c>
    </row>
    <row r="1278" spans="1:4" ht="30">
      <c r="A1278" s="5" t="str">
        <f>HYPERLINK("https://www.oit.va.gov/Services/TRM/ToolPage.aspx?tid=8210^","BMC Discovery")</f>
        <v>BMC Discovery</v>
      </c>
      <c r="B1278" s="4" t="s">
        <v>593</v>
      </c>
      <c r="C1278" s="8" t="s">
        <v>5</v>
      </c>
      <c r="D1278" s="11" t="s">
        <v>2418</v>
      </c>
    </row>
    <row r="1279" spans="1:4" ht="30">
      <c r="A1279" s="5" t="str">
        <f>HYPERLINK("https://www.oit.va.gov/Services/TRM/ToolPage.aspx?tid=28^","BMC TrueSight Operations Management")</f>
        <v>BMC TrueSight Operations Management</v>
      </c>
      <c r="B1279" s="4" t="s">
        <v>593</v>
      </c>
      <c r="C1279" s="8" t="s">
        <v>5</v>
      </c>
      <c r="D1279" s="11" t="s">
        <v>2395</v>
      </c>
    </row>
    <row r="1280" spans="1:4" ht="30">
      <c r="A1280" s="5" t="str">
        <f>HYPERLINK("https://www.oit.va.gov/Services/TRM/ToolPage.aspx?tid=5466^","BMC Automated Mainframe Intelligence (AMI) Strobe")</f>
        <v>BMC Automated Mainframe Intelligence (AMI) Strobe</v>
      </c>
      <c r="B1280" s="4" t="s">
        <v>593</v>
      </c>
      <c r="C1280" s="8" t="s">
        <v>5</v>
      </c>
      <c r="D1280" s="11" t="s">
        <v>70</v>
      </c>
    </row>
    <row r="1281" spans="1:4" ht="30">
      <c r="A1281" s="5" t="str">
        <f>HYPERLINK("https://www.oit.va.gov/Services/TRM/ToolPage.aspx?tid=9846^","BMC Control-M Workload Automation (Base)-Maintenance")</f>
        <v>BMC Control-M Workload Automation (Base)-Maintenance</v>
      </c>
      <c r="B1281" s="4" t="s">
        <v>593</v>
      </c>
      <c r="C1281" s="8" t="s">
        <v>5</v>
      </c>
      <c r="D1281" s="11" t="s">
        <v>2348</v>
      </c>
    </row>
    <row r="1282" spans="1:4" ht="30">
      <c r="A1282" s="5" t="str">
        <f>HYPERLINK("https://www.oit.va.gov/Services/TRM/ToolPage.aspx?tid=5477^","Fast Dump Restore (FDR)")</f>
        <v>Fast Dump Restore (FDR)</v>
      </c>
      <c r="B1282" s="4" t="s">
        <v>593</v>
      </c>
      <c r="C1282" s="8" t="s">
        <v>5</v>
      </c>
      <c r="D1282" s="11" t="s">
        <v>4121</v>
      </c>
    </row>
    <row r="1283" spans="1:4" ht="30">
      <c r="A1283" s="5" t="str">
        <f>HYPERLINK("https://www.oit.va.gov/Services/TRM/ToolPage.aspx?tid=16034^","Fast Dump Restore Compaktor (FDRCPK)")</f>
        <v>Fast Dump Restore Compaktor (FDRCPK)</v>
      </c>
      <c r="B1283" s="4" t="s">
        <v>593</v>
      </c>
      <c r="C1283" s="8" t="s">
        <v>5</v>
      </c>
      <c r="D1283" s="11" t="s">
        <v>4122</v>
      </c>
    </row>
    <row r="1284" spans="1:4" ht="30">
      <c r="A1284" s="5" t="str">
        <f>HYPERLINK("https://www.oit.va.gov/Services/TRM/ToolPage.aspx?tid=10111^","FDR/Upstream Director")</f>
        <v>FDR/Upstream Director</v>
      </c>
      <c r="B1284" s="4" t="s">
        <v>593</v>
      </c>
      <c r="C1284" s="8" t="s">
        <v>5</v>
      </c>
      <c r="D1284" s="11" t="s">
        <v>2243</v>
      </c>
    </row>
    <row r="1285" spans="1:4" ht="30">
      <c r="A1285" s="5" t="str">
        <f>HYPERLINK("https://www.oit.va.gov/Services/TRM/ToolPage.aspx?tid=8574^","FDREPORT")</f>
        <v>FDREPORT</v>
      </c>
      <c r="B1285" s="4" t="s">
        <v>593</v>
      </c>
      <c r="C1285" s="8" t="s">
        <v>5</v>
      </c>
      <c r="D1285" s="11" t="s">
        <v>4124</v>
      </c>
    </row>
    <row r="1286" spans="1:4" ht="30">
      <c r="A1286" s="5" t="str">
        <f>HYPERLINK("https://www.oit.va.gov/Services/TRM/ToolPage.aspx?tid=9123^","BMC AMI DevX Abend-AID")</f>
        <v>BMC AMI DevX Abend-AID</v>
      </c>
      <c r="B1286" s="4" t="s">
        <v>593</v>
      </c>
      <c r="C1286" s="8" t="s">
        <v>5</v>
      </c>
      <c r="D1286" s="11" t="s">
        <v>316</v>
      </c>
    </row>
    <row r="1287" spans="1:4" ht="30">
      <c r="A1287" s="5" t="str">
        <f>HYPERLINK("https://www.oit.va.gov/Services/TRM/ToolPage.aspx?tid=9847^","BMC Control-M Mainframe Extension Package")</f>
        <v>BMC Control-M Mainframe Extension Package</v>
      </c>
      <c r="B1287" s="4" t="s">
        <v>593</v>
      </c>
      <c r="C1287" s="8" t="s">
        <v>5</v>
      </c>
      <c r="D1287" s="11" t="s">
        <v>2348</v>
      </c>
    </row>
    <row r="1288" spans="1:4" ht="30">
      <c r="A1288" s="5" t="str">
        <f>HYPERLINK("https://www.oit.va.gov/Services/TRM/ToolPage.aspx?tid=16135^","Fast Dump Restore Volume Incremental Backup (FDRINCR)")</f>
        <v>Fast Dump Restore Volume Incremental Backup (FDRINCR)</v>
      </c>
      <c r="B1288" s="4" t="s">
        <v>593</v>
      </c>
      <c r="C1288" s="8" t="s">
        <v>5</v>
      </c>
      <c r="D1288" s="11" t="s">
        <v>489</v>
      </c>
    </row>
    <row r="1289" spans="1:4" ht="30">
      <c r="A1289" s="5" t="str">
        <f>HYPERLINK("https://www.oit.va.gov/Services/TRM/ToolPage.aspx?tid=13323^","BMC Action Request (AR) System")</f>
        <v>BMC Action Request (AR) System</v>
      </c>
      <c r="B1289" s="4" t="s">
        <v>593</v>
      </c>
      <c r="C1289" s="8" t="s">
        <v>5</v>
      </c>
      <c r="D1289" s="11" t="s">
        <v>3867</v>
      </c>
    </row>
    <row r="1290" spans="1:4" ht="30">
      <c r="A1290" s="5" t="str">
        <f>HYPERLINK("https://www.oit.va.gov/Services/TRM/ToolPage.aspx?tid=8591^","BMC AMI Enterprise Common Components (ECC)")</f>
        <v>BMC AMI Enterprise Common Components (ECC)</v>
      </c>
      <c r="B1290" s="4" t="s">
        <v>593</v>
      </c>
      <c r="C1290" s="8" t="s">
        <v>5</v>
      </c>
      <c r="D1290" s="11" t="s">
        <v>316</v>
      </c>
    </row>
    <row r="1291" spans="1:4" ht="45">
      <c r="A1291" s="5" t="str">
        <f>HYPERLINK("https://www.oit.va.gov/Services/TRM/ToolPage.aspx?tid=9717^","BMC Automated Mainframe Intelligence (AMI) Developer Experience (DevX) Code Debug for Time Sharing Option (TSO) and Information Management System (IMS)")</f>
        <v>BMC Automated Mainframe Intelligence (AMI) Developer Experience (DevX) Code Debug for Time Sharing Option (TSO) and Information Management System (IMS)</v>
      </c>
      <c r="B1291" s="4" t="s">
        <v>593</v>
      </c>
      <c r="C1291" s="8" t="s">
        <v>5</v>
      </c>
      <c r="D1291" s="11" t="s">
        <v>360</v>
      </c>
    </row>
    <row r="1292" spans="1:4" ht="30">
      <c r="A1292" s="5" t="str">
        <f>HYPERLINK("https://www.oit.va.gov/Services/TRM/ToolPage.aspx?tid=9605^","BMC Control-M Output Management Components")</f>
        <v>BMC Control-M Output Management Components</v>
      </c>
      <c r="B1292" s="4" t="s">
        <v>593</v>
      </c>
      <c r="C1292" s="8" t="s">
        <v>5</v>
      </c>
      <c r="D1292" s="11" t="s">
        <v>2348</v>
      </c>
    </row>
    <row r="1293" spans="1:4" ht="30">
      <c r="A1293" s="5" t="str">
        <f>HYPERLINK("https://www.oit.va.gov/Services/TRM/ToolPage.aspx?tid=7025^","Footprints Service Core")</f>
        <v>Footprints Service Core</v>
      </c>
      <c r="B1293" s="4" t="s">
        <v>593</v>
      </c>
      <c r="C1293" s="8" t="s">
        <v>5</v>
      </c>
      <c r="D1293" s="11" t="s">
        <v>6627</v>
      </c>
    </row>
    <row r="1294" spans="1:4" ht="30">
      <c r="A1294" s="5" t="str">
        <f>HYPERLINK("https://www.oit.va.gov/Services/TRM/ToolPage.aspx?tid=13290^","BMC Performance Perceiver")</f>
        <v>BMC Performance Perceiver</v>
      </c>
      <c r="B1294" s="4" t="s">
        <v>593</v>
      </c>
      <c r="C1294" s="8" t="s">
        <v>5</v>
      </c>
      <c r="D1294" s="11" t="s">
        <v>6286</v>
      </c>
    </row>
    <row r="1295" spans="1:4" ht="30">
      <c r="A1295" s="5" t="str">
        <f>HYPERLINK("https://www.oit.va.gov/Services/TRM/ToolPage.aspx?tid=13297^","BMC TrueSight Infrastructure Management")</f>
        <v>BMC TrueSight Infrastructure Management</v>
      </c>
      <c r="B1295" s="4" t="s">
        <v>593</v>
      </c>
      <c r="C1295" s="8" t="s">
        <v>5</v>
      </c>
      <c r="D1295" s="11" t="s">
        <v>7571</v>
      </c>
    </row>
    <row r="1296" spans="1:4" ht="30">
      <c r="A1296" s="5" t="str">
        <f>HYPERLINK("https://www.oit.va.gov/Services/TRM/ToolPage.aspx?tid=11234^","Distributed License Management (DLM)")</f>
        <v>Distributed License Management (DLM)</v>
      </c>
      <c r="B1296" s="4" t="s">
        <v>593</v>
      </c>
      <c r="C1296" s="8" t="s">
        <v>5</v>
      </c>
      <c r="D1296" s="11" t="s">
        <v>196</v>
      </c>
    </row>
    <row r="1297" spans="1:4" ht="30">
      <c r="A1297" s="5" t="str">
        <f>HYPERLINK("https://www.oit.va.gov/Services/TRM/ToolPage.aspx?tid=8556^","Mainview BMC Automated Mainframe Intelligence (AMI) Storage StopX37")</f>
        <v>Mainview BMC Automated Mainframe Intelligence (AMI) Storage StopX37</v>
      </c>
      <c r="B1297" s="4" t="s">
        <v>593</v>
      </c>
      <c r="C1297" s="8" t="s">
        <v>5</v>
      </c>
      <c r="D1297" s="11" t="s">
        <v>8213</v>
      </c>
    </row>
    <row r="1298" spans="1:4" ht="30">
      <c r="A1298" s="5" t="str">
        <f>HYPERLINK("https://www.oit.va.gov/Services/TRM/ToolPage.aspx?tid=13391^","PATROL Agent")</f>
        <v>PATROL Agent</v>
      </c>
      <c r="B1298" s="4" t="s">
        <v>593</v>
      </c>
      <c r="C1298" s="8" t="s">
        <v>5</v>
      </c>
      <c r="D1298" s="11" t="s">
        <v>8404</v>
      </c>
    </row>
    <row r="1299" spans="1:4" ht="30">
      <c r="A1299" s="5" t="str">
        <f>HYPERLINK("https://www.oit.va.gov/Services/TRM/ToolPage.aspx?tid=13423^","Performance Assurance")</f>
        <v>Performance Assurance</v>
      </c>
      <c r="B1299" s="4" t="s">
        <v>593</v>
      </c>
      <c r="C1299" s="8" t="s">
        <v>5</v>
      </c>
      <c r="D1299" s="11" t="s">
        <v>7598</v>
      </c>
    </row>
    <row r="1300" spans="1:4" ht="30">
      <c r="A1300" s="5" t="str">
        <f>HYPERLINK("https://www.oit.va.gov/Services/TRM/ToolPage.aspx?tid=13501^","RSCD Agent")</f>
        <v>RSCD Agent</v>
      </c>
      <c r="B1300" s="4" t="s">
        <v>593</v>
      </c>
      <c r="C1300" s="8" t="s">
        <v>5</v>
      </c>
      <c r="D1300" s="11" t="s">
        <v>7044</v>
      </c>
    </row>
    <row r="1301" spans="1:4" ht="30">
      <c r="A1301" s="5" t="str">
        <f>HYPERLINK("https://www.oit.va.gov/Services/TRM/ToolPage.aspx?tid=13295^","Track-It")</f>
        <v>Track-It</v>
      </c>
      <c r="B1301" s="4" t="s">
        <v>593</v>
      </c>
      <c r="C1301" s="8" t="s">
        <v>5</v>
      </c>
      <c r="D1301" s="11" t="s">
        <v>8825</v>
      </c>
    </row>
    <row r="1302" spans="1:4" ht="30">
      <c r="A1302" s="5" t="str">
        <f>HYPERLINK("https://www.oit.va.gov/Services/TRM/ToolPage.aspx?tid=13362^","MARS Data Analysis Software")</f>
        <v>MARS Data Analysis Software</v>
      </c>
      <c r="B1302" s="4" t="s">
        <v>8219</v>
      </c>
      <c r="C1302" s="8" t="s">
        <v>5</v>
      </c>
      <c r="D1302" s="11" t="s">
        <v>6478</v>
      </c>
    </row>
    <row r="1303" spans="1:4" ht="30">
      <c r="A1303" s="5" t="str">
        <f>HYPERLINK("https://www.oit.va.gov/Services/TRM/ToolPage.aspx?tid=8113^","Proc Traj")</f>
        <v>Proc Traj</v>
      </c>
      <c r="B1303" s="4" t="s">
        <v>1868</v>
      </c>
      <c r="C1303" s="8" t="s">
        <v>5</v>
      </c>
      <c r="D1303" s="11" t="s">
        <v>1869</v>
      </c>
    </row>
    <row r="1304" spans="1:4" ht="30">
      <c r="A1304" s="5" t="str">
        <f>HYPERLINK("https://www.oit.va.gov/Services/TRM/ToolPage.aspx?tid=16786^","Body Manager Platinum")</f>
        <v>Body Manager Platinum</v>
      </c>
      <c r="B1304" s="4" t="s">
        <v>3847</v>
      </c>
      <c r="C1304" s="8" t="s">
        <v>5</v>
      </c>
      <c r="D1304" s="11" t="s">
        <v>3848</v>
      </c>
    </row>
    <row r="1305" spans="1:4" ht="30">
      <c r="A1305" s="5" t="str">
        <f>HYPERLINK("https://www.oit.va.gov/Services/TRM/ToolPage.aspx?tid=16421^","Bodyswaps")</f>
        <v>Bodyswaps</v>
      </c>
      <c r="B1305" s="4" t="s">
        <v>3850</v>
      </c>
      <c r="C1305" s="8" t="s">
        <v>5</v>
      </c>
      <c r="D1305" s="11" t="s">
        <v>2230</v>
      </c>
    </row>
    <row r="1306" spans="1:4" ht="30">
      <c r="A1306" s="5" t="str">
        <f>HYPERLINK("https://www.oit.va.gov/Services/TRM/ToolPage.aspx?tid=9329^","Sketch")</f>
        <v>Sketch</v>
      </c>
      <c r="B1306" s="4" t="s">
        <v>6072</v>
      </c>
      <c r="C1306" s="8" t="s">
        <v>5</v>
      </c>
      <c r="D1306" s="11" t="s">
        <v>4847</v>
      </c>
    </row>
    <row r="1307" spans="1:4" ht="30">
      <c r="A1307" s="5" t="str">
        <f>HYPERLINK("https://www.oit.va.gov/Services/TRM/ToolPage.aspx?tid=13377^","FotoMagico")</f>
        <v>FotoMagico</v>
      </c>
      <c r="B1307" s="4" t="s">
        <v>7944</v>
      </c>
      <c r="C1307" s="8" t="s">
        <v>5</v>
      </c>
      <c r="D1307" s="11" t="s">
        <v>7646</v>
      </c>
    </row>
    <row r="1308" spans="1:4" ht="30">
      <c r="A1308" s="5" t="str">
        <f>HYPERLINK("https://www.oit.va.gov/Services/TRM/ToolPage.aspx?tid=13440^","Carbon Copy Cloner")</f>
        <v>Carbon Copy Cloner</v>
      </c>
      <c r="B1308" s="4" t="s">
        <v>7613</v>
      </c>
      <c r="C1308" s="8" t="s">
        <v>5</v>
      </c>
      <c r="D1308" s="11" t="s">
        <v>7614</v>
      </c>
    </row>
    <row r="1309" spans="1:4" ht="30">
      <c r="A1309" s="5" t="str">
        <f>HYPERLINK("https://www.oit.va.gov/Services/TRM/ToolPage.aspx?tid=7153^","Bonita Business Process Modeling (BPM)")</f>
        <v>Bonita Business Process Modeling (BPM)</v>
      </c>
      <c r="B1309" s="4" t="s">
        <v>3104</v>
      </c>
      <c r="C1309" s="8" t="s">
        <v>5</v>
      </c>
      <c r="D1309" s="11" t="s">
        <v>3105</v>
      </c>
    </row>
    <row r="1310" spans="1:4" ht="30">
      <c r="A1310" s="5" t="str">
        <f>HYPERLINK("https://www.oit.va.gov/Services/TRM/ToolPage.aspx?tid=14782^","Boomerang for Outlook")</f>
        <v>Boomerang for Outlook</v>
      </c>
      <c r="B1310" s="4" t="s">
        <v>6358</v>
      </c>
      <c r="C1310" s="8" t="s">
        <v>5</v>
      </c>
      <c r="D1310" s="11" t="s">
        <v>6359</v>
      </c>
    </row>
    <row r="1311" spans="1:4" ht="30">
      <c r="A1311" s="5" t="str">
        <f>HYPERLINK("https://www.oit.va.gov/Services/TRM/ToolPage.aspx?tid=7795^","Bootstrap")</f>
        <v>Bootstrap</v>
      </c>
      <c r="B1311" s="4" t="s">
        <v>3851</v>
      </c>
      <c r="C1311" s="8" t="s">
        <v>5</v>
      </c>
      <c r="D1311" s="11" t="s">
        <v>3852</v>
      </c>
    </row>
    <row r="1312" spans="1:4" ht="30">
      <c r="A1312" s="5" t="str">
        <f>HYPERLINK("https://www.oit.va.gov/Services/TRM/ToolPage.aspx?tid=14449^","Boris FX Mocha Pro Plug-In for Avid")</f>
        <v>Boris FX Mocha Pro Plug-In for Avid</v>
      </c>
      <c r="B1312" s="4" t="s">
        <v>2419</v>
      </c>
      <c r="C1312" s="8" t="s">
        <v>5</v>
      </c>
      <c r="D1312" s="11" t="s">
        <v>2420</v>
      </c>
    </row>
    <row r="1313" spans="1:4" ht="30">
      <c r="A1313" s="5" t="str">
        <f>HYPERLINK("https://www.oit.va.gov/Services/TRM/ToolPage.aspx?tid=14563^","Boris FX Continuum for Avid")</f>
        <v>Boris FX Continuum for Avid</v>
      </c>
      <c r="B1313" s="4" t="s">
        <v>2419</v>
      </c>
      <c r="C1313" s="8" t="s">
        <v>5</v>
      </c>
      <c r="D1313" s="11" t="s">
        <v>3853</v>
      </c>
    </row>
    <row r="1314" spans="1:4" ht="30">
      <c r="A1314" s="5" t="str">
        <f>HYPERLINK("https://www.oit.va.gov/Services/TRM/ToolPage.aspx?tid=7289^","Sapphire")</f>
        <v>Sapphire</v>
      </c>
      <c r="B1314" s="4" t="s">
        <v>2419</v>
      </c>
      <c r="C1314" s="8" t="s">
        <v>5</v>
      </c>
      <c r="D1314" s="11" t="s">
        <v>4755</v>
      </c>
    </row>
    <row r="1315" spans="1:4" ht="30">
      <c r="A1315" s="5" t="str">
        <f>HYPERLINK("https://www.oit.va.gov/Services/TRM/ToolPage.aspx?tid=7692^","SPlayer")</f>
        <v>SPlayer</v>
      </c>
      <c r="B1315" s="4" t="s">
        <v>8710</v>
      </c>
      <c r="C1315" s="8" t="s">
        <v>5</v>
      </c>
      <c r="D1315" s="11" t="s">
        <v>8711</v>
      </c>
    </row>
    <row r="1316" spans="1:4" ht="30">
      <c r="A1316" s="5" t="str">
        <f>HYPERLINK("https://www.oit.va.gov/Services/TRM/ToolPage.aspx?tid=13938^","Bosch Video Management Systems (BVMS)")</f>
        <v>Bosch Video Management Systems (BVMS)</v>
      </c>
      <c r="B1316" s="4" t="s">
        <v>1378</v>
      </c>
      <c r="C1316" s="8" t="s">
        <v>5</v>
      </c>
      <c r="D1316" s="11" t="s">
        <v>714</v>
      </c>
    </row>
    <row r="1317" spans="1:4" ht="30">
      <c r="A1317" s="5" t="str">
        <f>HYPERLINK("https://www.oit.va.gov/Services/TRM/ToolPage.aspx?tid=7906^","Health Buddy Desktop")</f>
        <v>Health Buddy Desktop</v>
      </c>
      <c r="B1317" s="4" t="s">
        <v>5223</v>
      </c>
      <c r="C1317" s="8" t="s">
        <v>5</v>
      </c>
      <c r="D1317" s="11" t="s">
        <v>5224</v>
      </c>
    </row>
    <row r="1318" spans="1:4" ht="30">
      <c r="A1318" s="5" t="str">
        <f>HYPERLINK("https://www.oit.va.gov/Services/TRM/ToolPage.aspx?tid=7910^","Health Buddy Health Level 7 (HL7)")</f>
        <v>Health Buddy Health Level 7 (HL7)</v>
      </c>
      <c r="B1318" s="4" t="s">
        <v>5223</v>
      </c>
      <c r="C1318" s="8" t="s">
        <v>5</v>
      </c>
      <c r="D1318" s="11" t="s">
        <v>5225</v>
      </c>
    </row>
    <row r="1319" spans="1:4" ht="30">
      <c r="A1319" s="5" t="str">
        <f>HYPERLINK("https://www.oit.va.gov/Services/TRM/ToolPage.aspx?tid=13393^","Bosch Security Systems Video Client")</f>
        <v>Bosch Security Systems Video Client</v>
      </c>
      <c r="B1319" s="4" t="s">
        <v>3854</v>
      </c>
      <c r="C1319" s="8" t="s">
        <v>5</v>
      </c>
      <c r="D1319" s="11" t="s">
        <v>3855</v>
      </c>
    </row>
    <row r="1320" spans="1:4" ht="30">
      <c r="A1320" s="5" t="str">
        <f>HYPERLINK("https://www.oit.va.gov/Services/TRM/ToolPage.aspx?tid=10558^","Network Simulator (NetSim) for Cisco Certified Network Associate (CCNA)")</f>
        <v>Network Simulator (NetSim) for Cisco Certified Network Associate (CCNA)</v>
      </c>
      <c r="B1320" s="4" t="s">
        <v>5377</v>
      </c>
      <c r="C1320" s="8" t="s">
        <v>5</v>
      </c>
      <c r="D1320" s="11" t="s">
        <v>1891</v>
      </c>
    </row>
    <row r="1321" spans="1:4" ht="30">
      <c r="A1321" s="5" t="str">
        <f>HYPERLINK("https://www.oit.va.gov/Services/TRM/ToolPage.aspx?tid=13073^","Internet Protocol (IP) Subnet Calculator")</f>
        <v>Internet Protocol (IP) Subnet Calculator</v>
      </c>
      <c r="B1321" s="4" t="s">
        <v>5377</v>
      </c>
      <c r="C1321" s="8" t="s">
        <v>5</v>
      </c>
      <c r="D1321" s="11" t="s">
        <v>5883</v>
      </c>
    </row>
    <row r="1322" spans="1:4" ht="30">
      <c r="A1322" s="5" t="str">
        <f>HYPERLINK("https://www.oit.va.gov/Services/TRM/ToolPage.aspx?tid=13460^","Exam Environment (BEE)")</f>
        <v>Exam Environment (BEE)</v>
      </c>
      <c r="B1322" s="4" t="s">
        <v>5377</v>
      </c>
      <c r="C1322" s="8" t="s">
        <v>5</v>
      </c>
      <c r="D1322" s="11" t="s">
        <v>2290</v>
      </c>
    </row>
    <row r="1323" spans="1:4" ht="30">
      <c r="A1323" s="5" t="str">
        <f>HYPERLINK("https://www.oit.va.gov/Services/TRM/ToolPage.aspx?tid=16350^","Preventice Solutions Remote Agent")</f>
        <v>Preventice Solutions Remote Agent</v>
      </c>
      <c r="B1323" s="4" t="s">
        <v>1859</v>
      </c>
      <c r="C1323" s="8" t="s">
        <v>5</v>
      </c>
      <c r="D1323" s="11" t="s">
        <v>1860</v>
      </c>
    </row>
    <row r="1324" spans="1:4" ht="30">
      <c r="A1324" s="5" t="str">
        <f>HYPERLINK("https://www.oit.va.gov/Services/TRM/ToolPage.aspx?tid=15832^","Boston Scientific Simplicit90Y")</f>
        <v>Boston Scientific Simplicit90Y</v>
      </c>
      <c r="B1324" s="4" t="s">
        <v>1859</v>
      </c>
      <c r="C1324" s="8" t="s">
        <v>5</v>
      </c>
      <c r="D1324" s="11" t="s">
        <v>857</v>
      </c>
    </row>
    <row r="1325" spans="1:4" ht="30">
      <c r="A1325" s="5" t="str">
        <f>HYPERLINK("https://www.oit.va.gov/Services/TRM/ToolPage.aspx?tid=15708^","LabSystem Pro Electrophysiology (EP) Review Workstation")</f>
        <v>LabSystem Pro Electrophysiology (EP) Review Workstation</v>
      </c>
      <c r="B1325" s="4" t="s">
        <v>1859</v>
      </c>
      <c r="C1325" s="8" t="s">
        <v>5</v>
      </c>
      <c r="D1325" s="11" t="s">
        <v>5903</v>
      </c>
    </row>
    <row r="1326" spans="1:4" ht="30">
      <c r="A1326" s="5" t="str">
        <f>HYPERLINK("https://www.oit.va.gov/Services/TRM/ToolPage.aspx?tid=10597^","Community Reintegration of Injured Service Members-Computer Adapted-Test (CRIS-CAT)")</f>
        <v>Community Reintegration of Injured Service Members-Computer Adapted-Test (CRIS-CAT)</v>
      </c>
      <c r="B1326" s="4" t="s">
        <v>2477</v>
      </c>
      <c r="C1326" s="8" t="s">
        <v>5</v>
      </c>
      <c r="D1326" s="11" t="s">
        <v>2478</v>
      </c>
    </row>
    <row r="1327" spans="1:4" ht="30">
      <c r="A1327" s="5" t="str">
        <f>HYPERLINK("https://www.oit.va.gov/Services/TRM/ToolPage.aspx?tid=13567^","Bankscan")</f>
        <v>Bankscan</v>
      </c>
      <c r="B1327" s="4" t="s">
        <v>7535</v>
      </c>
      <c r="C1327" s="8" t="s">
        <v>5</v>
      </c>
      <c r="D1327" s="11" t="s">
        <v>7417</v>
      </c>
    </row>
    <row r="1328" spans="1:4" ht="30">
      <c r="A1328" s="5" t="str">
        <f>HYPERLINK("https://www.oit.va.gov/Services/TRM/ToolPage.aspx?tid=8183^","Bower")</f>
        <v>Bower</v>
      </c>
      <c r="B1328" s="4" t="s">
        <v>7575</v>
      </c>
      <c r="C1328" s="8" t="s">
        <v>5</v>
      </c>
      <c r="D1328" s="11" t="s">
        <v>5079</v>
      </c>
    </row>
    <row r="1329" spans="1:4" ht="30">
      <c r="A1329" s="5" t="str">
        <f>HYPERLINK("https://www.oit.va.gov/Services/TRM/ToolPage.aspx?tid=15451^","Box Tools")</f>
        <v>Box Tools</v>
      </c>
      <c r="B1329" s="4" t="s">
        <v>3179</v>
      </c>
      <c r="C1329" s="8" t="s">
        <v>5</v>
      </c>
      <c r="D1329" s="11" t="s">
        <v>3180</v>
      </c>
    </row>
    <row r="1330" spans="1:4" ht="30">
      <c r="A1330" s="5" t="str">
        <f>HYPERLINK("https://www.oit.va.gov/Services/TRM/ToolPage.aspx?tid=13298^","Box Sync")</f>
        <v>Box Sync</v>
      </c>
      <c r="B1330" s="4" t="s">
        <v>3179</v>
      </c>
      <c r="C1330" s="8" t="s">
        <v>5</v>
      </c>
      <c r="D1330" s="11" t="s">
        <v>5075</v>
      </c>
    </row>
    <row r="1331" spans="1:4" ht="30">
      <c r="A1331" s="5" t="str">
        <f>HYPERLINK("https://www.oit.va.gov/Services/TRM/ToolPage.aspx?tid=15443^","Box Notes")</f>
        <v>Box Notes</v>
      </c>
      <c r="B1331" s="4" t="s">
        <v>3179</v>
      </c>
      <c r="C1331" s="8" t="s">
        <v>5</v>
      </c>
      <c r="D1331" s="11" t="s">
        <v>6360</v>
      </c>
    </row>
    <row r="1332" spans="1:4" ht="30">
      <c r="A1332" s="5" t="str">
        <f>HYPERLINK("https://www.oit.va.gov/Services/TRM/ToolPage.aspx?tid=13812^","BoxCryptor")</f>
        <v>BoxCryptor</v>
      </c>
      <c r="B1332" s="4" t="s">
        <v>3179</v>
      </c>
      <c r="C1332" s="8" t="s">
        <v>5</v>
      </c>
      <c r="D1332" s="11" t="s">
        <v>6270</v>
      </c>
    </row>
    <row r="1333" spans="1:4" ht="30">
      <c r="A1333" s="5" t="str">
        <f>HYPERLINK("https://www.oit.va.gov/Services/TRM/ToolPage.aspx?tid=15441^","Box for Office Integrations")</f>
        <v>Box for Office Integrations</v>
      </c>
      <c r="B1333" s="4" t="s">
        <v>3179</v>
      </c>
      <c r="C1333" s="8" t="s">
        <v>5</v>
      </c>
      <c r="D1333" s="11" t="s">
        <v>7576</v>
      </c>
    </row>
    <row r="1334" spans="1:4" ht="30">
      <c r="A1334" s="5" t="str">
        <f>HYPERLINK("https://www.oit.va.gov/Services/TRM/ToolPage.aspx?tid=11638^","PLT")</f>
        <v>PLT</v>
      </c>
      <c r="B1334" s="4" t="s">
        <v>5428</v>
      </c>
      <c r="C1334" s="8" t="s">
        <v>5</v>
      </c>
      <c r="D1334" s="11" t="s">
        <v>5429</v>
      </c>
    </row>
    <row r="1335" spans="1:4" ht="30">
      <c r="A1335" s="5" t="str">
        <f>HYPERLINK("https://www.oit.va.gov/Services/TRM/ToolPage.aspx?tid=13280^","BarcodeLib")</f>
        <v>BarcodeLib</v>
      </c>
      <c r="B1335" s="4" t="s">
        <v>6323</v>
      </c>
      <c r="C1335" s="8" t="s">
        <v>5</v>
      </c>
      <c r="D1335" s="11" t="s">
        <v>279</v>
      </c>
    </row>
    <row r="1336" spans="1:4" ht="30">
      <c r="A1336" s="5" t="str">
        <f>HYPERLINK("https://www.oit.va.gov/Services/TRM/ToolPage.aspx?tid=14121^","Brady Workstation")</f>
        <v>Brady Workstation</v>
      </c>
      <c r="B1336" s="4" t="s">
        <v>1379</v>
      </c>
      <c r="C1336" s="8" t="s">
        <v>5</v>
      </c>
      <c r="D1336" s="11" t="s">
        <v>345</v>
      </c>
    </row>
    <row r="1337" spans="1:4" ht="30">
      <c r="A1337" s="5" t="str">
        <f>HYPERLINK("https://www.oit.va.gov/Services/TRM/ToolPage.aspx?tid=11149^","LabelMark")</f>
        <v>LabelMark</v>
      </c>
      <c r="B1337" s="4" t="s">
        <v>1379</v>
      </c>
      <c r="C1337" s="8" t="s">
        <v>5</v>
      </c>
      <c r="D1337" s="11" t="s">
        <v>4219</v>
      </c>
    </row>
    <row r="1338" spans="1:4" ht="30">
      <c r="A1338" s="5" t="str">
        <f>HYPERLINK("https://www.oit.va.gov/Services/TRM/ToolPage.aspx?tid=13645^","Markware Facility Identification Software")</f>
        <v>Markware Facility Identification Software</v>
      </c>
      <c r="B1338" s="4" t="s">
        <v>1379</v>
      </c>
      <c r="C1338" s="8" t="s">
        <v>5</v>
      </c>
      <c r="D1338" s="11" t="s">
        <v>3138</v>
      </c>
    </row>
    <row r="1339" spans="1:4" ht="30">
      <c r="A1339" s="5" t="str">
        <f>HYPERLINK("https://www.oit.va.gov/Services/TRM/ToolPage.aspx?tid=9720^","BrainVoyager")</f>
        <v>BrainVoyager</v>
      </c>
      <c r="B1339" s="4" t="s">
        <v>3859</v>
      </c>
      <c r="C1339" s="8" t="s">
        <v>5</v>
      </c>
      <c r="D1339" s="11" t="s">
        <v>1130</v>
      </c>
    </row>
    <row r="1340" spans="1:4" ht="30">
      <c r="A1340" s="5" t="str">
        <f>HYPERLINK("https://www.oit.va.gov/Services/TRM/ToolPage.aspx?tid=7804^","BrainVision Analyzer")</f>
        <v>BrainVision Analyzer</v>
      </c>
      <c r="B1340" s="4" t="s">
        <v>3858</v>
      </c>
      <c r="C1340" s="8" t="s">
        <v>5</v>
      </c>
      <c r="D1340" s="11" t="s">
        <v>3857</v>
      </c>
    </row>
    <row r="1341" spans="1:4" ht="30">
      <c r="A1341" s="5" t="str">
        <f>HYPERLINK("https://www.oit.va.gov/Services/TRM/ToolPage.aspx?tid=13976^","BrainVision Recorder")</f>
        <v>BrainVision Recorder</v>
      </c>
      <c r="B1341" s="4" t="s">
        <v>3858</v>
      </c>
      <c r="C1341" s="8" t="s">
        <v>5</v>
      </c>
      <c r="D1341" s="11" t="s">
        <v>2097</v>
      </c>
    </row>
    <row r="1342" spans="1:4" ht="30">
      <c r="A1342" s="5" t="str">
        <f>HYPERLINK("https://www.oit.va.gov/Services/TRM/ToolPage.aspx?tid=15414^","Brainlab Elements")</f>
        <v>Brainlab Elements</v>
      </c>
      <c r="B1342" s="4" t="s">
        <v>1380</v>
      </c>
      <c r="C1342" s="8" t="s">
        <v>5</v>
      </c>
      <c r="D1342" s="11" t="s">
        <v>919</v>
      </c>
    </row>
    <row r="1343" spans="1:4" ht="30">
      <c r="A1343" s="5" t="str">
        <f>HYPERLINK("https://www.oit.va.gov/Services/TRM/ToolPage.aspx?tid=9005^","TraumaCad Server")</f>
        <v>TraumaCad Server</v>
      </c>
      <c r="B1343" s="4" t="s">
        <v>1380</v>
      </c>
      <c r="C1343" s="8" t="s">
        <v>5</v>
      </c>
      <c r="D1343" s="11" t="s">
        <v>4928</v>
      </c>
    </row>
    <row r="1344" spans="1:4" ht="30">
      <c r="A1344" s="5" t="str">
        <f>HYPERLINK("https://www.oit.va.gov/Services/TRM/ToolPage.aspx?tid=8990^","BrainAvatar for Discovery Series")</f>
        <v>BrainAvatar for Discovery Series</v>
      </c>
      <c r="B1344" s="4" t="s">
        <v>5076</v>
      </c>
      <c r="C1344" s="8" t="s">
        <v>5</v>
      </c>
      <c r="D1344" s="11" t="s">
        <v>5077</v>
      </c>
    </row>
    <row r="1345" spans="1:4" ht="30">
      <c r="A1345" s="5" t="str">
        <f>HYPERLINK("https://www.oit.va.gov/Services/TRM/ToolPage.aspx?tid=10218^","Captain`s Log MindPower Builder")</f>
        <v>Captain`s Log MindPower Builder</v>
      </c>
      <c r="B1345" s="4" t="s">
        <v>943</v>
      </c>
      <c r="C1345" s="8" t="s">
        <v>5</v>
      </c>
      <c r="D1345" s="11" t="s">
        <v>944</v>
      </c>
    </row>
    <row r="1346" spans="1:4" ht="30">
      <c r="A1346" s="5" t="str">
        <f>HYPERLINK("https://www.oit.va.gov/Services/TRM/ToolPage.aspx?tid=9513^","Integrated Visual and Auditory (IVA)-2 Continuous Performance Test (CPT)")</f>
        <v>Integrated Visual and Auditory (IVA)-2 Continuous Performance Test (CPT)</v>
      </c>
      <c r="B1346" s="4" t="s">
        <v>943</v>
      </c>
      <c r="C1346" s="8" t="s">
        <v>5</v>
      </c>
      <c r="D1346" s="11" t="s">
        <v>1638</v>
      </c>
    </row>
    <row r="1347" spans="1:4" ht="30">
      <c r="A1347" s="5" t="str">
        <f>HYPERLINK("https://www.oit.va.gov/Services/TRM/ToolPage.aspx?tid=14352^","BrainVisa")</f>
        <v>BrainVisa</v>
      </c>
      <c r="B1347" s="4" t="s">
        <v>2421</v>
      </c>
      <c r="C1347" s="8" t="s">
        <v>5</v>
      </c>
      <c r="D1347" s="11" t="s">
        <v>2422</v>
      </c>
    </row>
    <row r="1348" spans="1:4" ht="30">
      <c r="A1348" s="5" t="str">
        <f>HYPERLINK("https://www.oit.va.gov/Services/TRM/ToolPage.aspx?tid=13731^","PyDev")</f>
        <v>PyDev</v>
      </c>
      <c r="B1348" s="4" t="s">
        <v>4673</v>
      </c>
      <c r="C1348" s="8" t="s">
        <v>5</v>
      </c>
      <c r="D1348" s="11" t="s">
        <v>2300</v>
      </c>
    </row>
    <row r="1349" spans="1:4" ht="30">
      <c r="A1349" s="5" t="str">
        <f>HYPERLINK("https://www.oit.va.gov/Services/TRM/ToolPage.aspx?tid=14063^","Brave")</f>
        <v>Brave</v>
      </c>
      <c r="B1349" s="4" t="s">
        <v>7577</v>
      </c>
      <c r="C1349" s="8" t="s">
        <v>5</v>
      </c>
      <c r="D1349" s="11" t="s">
        <v>7578</v>
      </c>
    </row>
    <row r="1350" spans="1:4" ht="30">
      <c r="A1350" s="5" t="str">
        <f>HYPERLINK("https://www.oit.va.gov/Services/TRM/ToolPage.aspx?tid=13660^","PSRemote")</f>
        <v>PSRemote</v>
      </c>
      <c r="B1350" s="4" t="s">
        <v>8494</v>
      </c>
      <c r="C1350" s="8" t="s">
        <v>5</v>
      </c>
      <c r="D1350" s="11" t="s">
        <v>8495</v>
      </c>
    </row>
    <row r="1351" spans="1:4" ht="30">
      <c r="A1351" s="5" t="str">
        <f>HYPERLINK("https://www.oit.va.gov/Services/TRM/ToolPage.aspx?tid=13361^","Webcam Photobooth")</f>
        <v>Webcam Photobooth</v>
      </c>
      <c r="B1351" s="4" t="s">
        <v>8494</v>
      </c>
      <c r="C1351" s="8" t="s">
        <v>5</v>
      </c>
      <c r="D1351" s="11" t="s">
        <v>2228</v>
      </c>
    </row>
    <row r="1352" spans="1:4" ht="30">
      <c r="A1352" s="5" t="str">
        <f>HYPERLINK("https://www.oit.va.gov/Services/TRM/ToolPage.aspx?tid=13832^","FlowBreeze")</f>
        <v>FlowBreeze</v>
      </c>
      <c r="B1352" s="4" t="s">
        <v>4140</v>
      </c>
      <c r="C1352" s="8" t="s">
        <v>5</v>
      </c>
      <c r="D1352" s="11" t="s">
        <v>4141</v>
      </c>
    </row>
    <row r="1353" spans="1:4" ht="30">
      <c r="A1353" s="5" t="str">
        <f>HYPERLINK("https://www.oit.va.gov/Services/TRM/ToolPage.aspx?tid=13606^","Brekeke Session Initiation Protocol (SIP) Server")</f>
        <v>Brekeke Session Initiation Protocol (SIP) Server</v>
      </c>
      <c r="B1353" s="4" t="s">
        <v>3860</v>
      </c>
      <c r="C1353" s="8" t="s">
        <v>5</v>
      </c>
      <c r="D1353" s="11" t="s">
        <v>3861</v>
      </c>
    </row>
    <row r="1354" spans="1:4" ht="30">
      <c r="A1354" s="5" t="str">
        <f>HYPERLINK("https://www.oit.va.gov/Services/TRM/ToolPage.aspx?tid=13594^","Marked 2")</f>
        <v>Marked 2</v>
      </c>
      <c r="B1354" s="4" t="s">
        <v>8217</v>
      </c>
      <c r="C1354" s="8" t="s">
        <v>5</v>
      </c>
      <c r="D1354" s="11" t="s">
        <v>8218</v>
      </c>
    </row>
    <row r="1355" spans="1:4" ht="30">
      <c r="A1355" s="5" t="str">
        <f>HYPERLINK("https://www.oit.va.gov/Services/TRM/ToolPage.aspx?tid=5822^","MockLib")</f>
        <v>MockLib</v>
      </c>
      <c r="B1355" s="4" t="s">
        <v>8276</v>
      </c>
      <c r="C1355" s="8" t="s">
        <v>5</v>
      </c>
      <c r="D1355" s="11" t="s">
        <v>3725</v>
      </c>
    </row>
    <row r="1356" spans="1:4" ht="30">
      <c r="A1356" s="5" t="str">
        <f>HYPERLINK("https://www.oit.va.gov/Services/TRM/ToolPage.aspx?tid=13633^","Image Resizer")</f>
        <v>Image Resizer</v>
      </c>
      <c r="B1356" s="4" t="s">
        <v>8060</v>
      </c>
      <c r="C1356" s="8" t="s">
        <v>5</v>
      </c>
      <c r="D1356" s="11" t="s">
        <v>8061</v>
      </c>
    </row>
    <row r="1357" spans="1:4" ht="30">
      <c r="A1357" s="5" t="str">
        <f>HYPERLINK("https://www.oit.va.gov/Services/TRM/ToolPage.aspx?tid=16275^","BriefCam Comprehensive Video Analytics Platform")</f>
        <v>BriefCam Comprehensive Video Analytics Platform</v>
      </c>
      <c r="B1357" s="4" t="s">
        <v>1383</v>
      </c>
      <c r="C1357" s="8" t="s">
        <v>5</v>
      </c>
      <c r="D1357" s="11" t="s">
        <v>1369</v>
      </c>
    </row>
    <row r="1358" spans="1:4" ht="30">
      <c r="A1358" s="5" t="str">
        <f>HYPERLINK("https://www.oit.va.gov/Services/TRM/ToolPage.aspx?tid=14625^","Chest Imaging Platform (CIP)")</f>
        <v>Chest Imaging Platform (CIP)</v>
      </c>
      <c r="B1358" s="4" t="s">
        <v>1422</v>
      </c>
      <c r="C1358" s="8" t="s">
        <v>5</v>
      </c>
      <c r="D1358" s="11" t="s">
        <v>1423</v>
      </c>
    </row>
    <row r="1359" spans="1:4" ht="30">
      <c r="A1359" s="5" t="str">
        <f>HYPERLINK("https://www.oit.va.gov/Services/TRM/ToolPage.aspx?tid=11014^","Three-Dimensional (3D) Slicer")</f>
        <v>Three-Dimensional (3D) Slicer</v>
      </c>
      <c r="B1359" s="4" t="s">
        <v>1422</v>
      </c>
      <c r="C1359" s="8" t="s">
        <v>5</v>
      </c>
      <c r="D1359" s="11" t="s">
        <v>895</v>
      </c>
    </row>
    <row r="1360" spans="1:4" ht="30">
      <c r="A1360" s="5" t="str">
        <f>HYPERLINK("https://www.oit.va.gov/Services/TRM/ToolPage.aspx?tid=6144^","SpywareBlaster")</f>
        <v>SpywareBlaster</v>
      </c>
      <c r="B1360" s="4" t="s">
        <v>7175</v>
      </c>
      <c r="C1360" s="8" t="s">
        <v>5</v>
      </c>
      <c r="D1360" s="11" t="s">
        <v>7176</v>
      </c>
    </row>
    <row r="1361" spans="1:4" ht="30">
      <c r="A1361" s="5" t="str">
        <f>HYPERLINK("https://www.oit.va.gov/Services/TRM/ToolPage.aspx?tid=11449^","BrightAuthor")</f>
        <v>BrightAuthor</v>
      </c>
      <c r="B1361" s="4" t="s">
        <v>3181</v>
      </c>
      <c r="C1361" s="8" t="s">
        <v>5</v>
      </c>
      <c r="D1361" s="11" t="s">
        <v>2431</v>
      </c>
    </row>
    <row r="1362" spans="1:4" ht="30">
      <c r="A1362" s="5" t="str">
        <f>HYPERLINK("https://www.oit.va.gov/Services/TRM/ToolPage.aspx?tid=7557^","Brillians")</f>
        <v>Brillians</v>
      </c>
      <c r="B1362" s="4" t="s">
        <v>7580</v>
      </c>
      <c r="C1362" s="8" t="s">
        <v>5</v>
      </c>
      <c r="D1362" s="11" t="s">
        <v>355</v>
      </c>
    </row>
    <row r="1363" spans="1:4" ht="30">
      <c r="A1363" s="5" t="str">
        <f>HYPERLINK("https://www.oit.va.gov/Services/TRM/ToolPage.aspx?tid=13937^","Community Referral Network (CRN)")</f>
        <v>Community Referral Network (CRN)</v>
      </c>
      <c r="B1363" s="4" t="s">
        <v>5111</v>
      </c>
      <c r="C1363" s="8" t="s">
        <v>5</v>
      </c>
      <c r="D1363" s="11" t="s">
        <v>1514</v>
      </c>
    </row>
    <row r="1364" spans="1:4" ht="30">
      <c r="A1364" s="5" t="str">
        <f>HYPERLINK("https://www.oit.va.gov/Services/TRM/ToolPage.aspx?tid=13581^","Folder Size")</f>
        <v>Folder Size</v>
      </c>
      <c r="B1364" s="4" t="s">
        <v>7939</v>
      </c>
      <c r="C1364" s="8" t="s">
        <v>5</v>
      </c>
      <c r="D1364" s="11" t="s">
        <v>7658</v>
      </c>
    </row>
    <row r="1365" spans="1:4" ht="30">
      <c r="A1365" s="5" t="str">
        <f>HYPERLINK("https://www.oit.va.gov/Services/TRM/ToolPage.aspx?tid=5585^","Vision Viewer")</f>
        <v>Vision Viewer</v>
      </c>
      <c r="B1365" s="4" t="s">
        <v>8883</v>
      </c>
      <c r="C1365" s="8" t="s">
        <v>5</v>
      </c>
      <c r="D1365" s="11" t="s">
        <v>8884</v>
      </c>
    </row>
    <row r="1366" spans="1:4" ht="30">
      <c r="A1366" s="5" t="str">
        <f>HYPERLINK("https://www.oit.va.gov/Services/TRM/ToolPage.aspx?tid=10631^","Phoneme Recognizer")</f>
        <v>Phoneme Recognizer</v>
      </c>
      <c r="B1366" s="4" t="s">
        <v>7002</v>
      </c>
      <c r="C1366" s="8" t="s">
        <v>5</v>
      </c>
      <c r="D1366" s="11" t="s">
        <v>1913</v>
      </c>
    </row>
    <row r="1367" spans="1:4" ht="30">
      <c r="A1367" s="5" t="str">
        <f>HYPERLINK("https://www.oit.va.gov/Services/TRM/ToolPage.aspx?tid=7456^","Integrative Genomics Viewer (IGV)")</f>
        <v>Integrative Genomics Viewer (IGV)</v>
      </c>
      <c r="B1367" s="4" t="s">
        <v>2671</v>
      </c>
      <c r="C1367" s="8" t="s">
        <v>5</v>
      </c>
      <c r="D1367" s="11" t="s">
        <v>2141</v>
      </c>
    </row>
    <row r="1368" spans="1:4" ht="30">
      <c r="A1368" s="5" t="str">
        <f>HYPERLINK("https://www.oit.va.gov/Services/TRM/ToolPage.aspx?tid=15321^","Genome Analysis Toolkit (GATK)")</f>
        <v>Genome Analysis Toolkit (GATK)</v>
      </c>
      <c r="B1368" s="4" t="s">
        <v>2671</v>
      </c>
      <c r="C1368" s="8" t="s">
        <v>5</v>
      </c>
      <c r="D1368" s="11" t="s">
        <v>4183</v>
      </c>
    </row>
    <row r="1369" spans="1:4" ht="30">
      <c r="A1369" s="5" t="str">
        <f>HYPERLINK("https://www.oit.va.gov/Services/TRM/ToolPage.aspx?tid=15298^","Picard Tools")</f>
        <v>Picard Tools</v>
      </c>
      <c r="B1369" s="4" t="s">
        <v>2671</v>
      </c>
      <c r="C1369" s="8" t="s">
        <v>5</v>
      </c>
      <c r="D1369" s="11" t="s">
        <v>511</v>
      </c>
    </row>
    <row r="1370" spans="1:4" ht="30">
      <c r="A1370" s="5" t="str">
        <f>HYPERLINK("https://www.oit.va.gov/Services/TRM/ToolPage.aspx?tid=13671^","Haploview")</f>
        <v>Haploview</v>
      </c>
      <c r="B1370" s="4" t="s">
        <v>2671</v>
      </c>
      <c r="C1370" s="8" t="s">
        <v>5</v>
      </c>
      <c r="D1370" s="11" t="s">
        <v>5097</v>
      </c>
    </row>
    <row r="1371" spans="1:4" ht="30">
      <c r="A1371" s="5" t="str">
        <f>HYPERLINK("https://www.oit.va.gov/Services/TRM/ToolPage.aspx?tid=9116^","CA Common Services (CCS) for z/OS")</f>
        <v>CA Common Services (CCS) for z/OS</v>
      </c>
      <c r="B1371" s="4" t="s">
        <v>604</v>
      </c>
      <c r="C1371" s="8" t="s">
        <v>5</v>
      </c>
      <c r="D1371" s="11" t="s">
        <v>605</v>
      </c>
    </row>
    <row r="1372" spans="1:4" ht="30">
      <c r="A1372" s="5" t="str">
        <f>HYPERLINK("https://www.oit.va.gov/Services/TRM/ToolPage.aspx?tid=8504^","CA Workload Automation (WA) Restart Option for z/OS Schedulers")</f>
        <v>CA Workload Automation (WA) Restart Option for z/OS Schedulers</v>
      </c>
      <c r="B1372" s="4" t="s">
        <v>604</v>
      </c>
      <c r="C1372" s="8" t="s">
        <v>5</v>
      </c>
      <c r="D1372" s="11" t="s">
        <v>606</v>
      </c>
    </row>
    <row r="1373" spans="1:4" ht="30">
      <c r="A1373" s="5" t="str">
        <f>HYPERLINK("https://www.oit.va.gov/Services/TRM/ToolPage.aspx?tid=6557^","vCenter")</f>
        <v>vCenter</v>
      </c>
      <c r="B1373" s="4" t="s">
        <v>604</v>
      </c>
      <c r="C1373" s="8" t="s">
        <v>5</v>
      </c>
      <c r="D1373" s="11" t="s">
        <v>888</v>
      </c>
    </row>
    <row r="1374" spans="1:4" ht="30">
      <c r="A1374" s="5" t="str">
        <f>HYPERLINK("https://www.oit.va.gov/Services/TRM/ToolPage.aspx?tid=9114^","Auditor for z/OS")</f>
        <v>Auditor for z/OS</v>
      </c>
      <c r="B1374" s="4" t="s">
        <v>604</v>
      </c>
      <c r="C1374" s="8" t="s">
        <v>5</v>
      </c>
      <c r="D1374" s="11" t="s">
        <v>643</v>
      </c>
    </row>
    <row r="1375" spans="1:4" ht="30">
      <c r="A1375" s="5" t="str">
        <f>HYPERLINK("https://www.oit.va.gov/Services/TRM/ToolPage.aspx?tid=13939^","Automic Continuous Delivery Automation")</f>
        <v>Automic Continuous Delivery Automation</v>
      </c>
      <c r="B1375" s="4" t="s">
        <v>604</v>
      </c>
      <c r="C1375" s="8" t="s">
        <v>5</v>
      </c>
      <c r="D1375" s="11" t="s">
        <v>1331</v>
      </c>
    </row>
    <row r="1376" spans="1:4" ht="30">
      <c r="A1376" s="5" t="str">
        <f>HYPERLINK("https://www.oit.va.gov/Services/TRM/ToolPage.aspx?tid=13468^","Broadcom Development Test (DevTest) Solutions")</f>
        <v>Broadcom Development Test (DevTest) Solutions</v>
      </c>
      <c r="B1376" s="4" t="s">
        <v>604</v>
      </c>
      <c r="C1376" s="8" t="s">
        <v>5</v>
      </c>
      <c r="D1376" s="11" t="s">
        <v>1384</v>
      </c>
    </row>
    <row r="1377" spans="1:4" ht="30">
      <c r="A1377" s="5" t="str">
        <f>HYPERLINK("https://www.oit.va.gov/Services/TRM/ToolPage.aspx?tid=6376^","CA Service Desk Manager (SDM)")</f>
        <v>CA Service Desk Manager (SDM)</v>
      </c>
      <c r="B1377" s="4" t="s">
        <v>604</v>
      </c>
      <c r="C1377" s="8" t="s">
        <v>5</v>
      </c>
      <c r="D1377" s="11" t="s">
        <v>1397</v>
      </c>
    </row>
    <row r="1378" spans="1:4" ht="30">
      <c r="A1378" s="5" t="str">
        <f>HYPERLINK("https://www.oit.va.gov/Services/TRM/ToolPage.aspx?tid=9102^","CA SOLVE:Access Session Management")</f>
        <v>CA SOLVE:Access Session Management</v>
      </c>
      <c r="B1378" s="4" t="s">
        <v>604</v>
      </c>
      <c r="C1378" s="8" t="s">
        <v>5</v>
      </c>
      <c r="D1378" s="11" t="s">
        <v>1324</v>
      </c>
    </row>
    <row r="1379" spans="1:4" ht="30">
      <c r="A1379" s="5" t="str">
        <f>HYPERLINK("https://www.oit.va.gov/Services/TRM/ToolPage.aspx?tid=6400^","Computer Associates (CA) Application Programming Interface (API) Management")</f>
        <v>Computer Associates (CA) Application Programming Interface (API) Management</v>
      </c>
      <c r="B1379" s="4" t="s">
        <v>604</v>
      </c>
      <c r="C1379" s="8" t="s">
        <v>5</v>
      </c>
      <c r="D1379" s="11" t="s">
        <v>1455</v>
      </c>
    </row>
    <row r="1380" spans="1:4" ht="30">
      <c r="A1380" s="5" t="str">
        <f>HYPERLINK("https://www.oit.va.gov/Services/TRM/ToolPage.aspx?tid=9560^","Computer Associates (CA) Integrated Database Management System (IDMS) Application Development System (ADS)")</f>
        <v>Computer Associates (CA) Integrated Database Management System (IDMS) Application Development System (ADS)</v>
      </c>
      <c r="B1380" s="4" t="s">
        <v>604</v>
      </c>
      <c r="C1380" s="8" t="s">
        <v>5</v>
      </c>
      <c r="D1380" s="11" t="s">
        <v>1455</v>
      </c>
    </row>
    <row r="1381" spans="1:4" ht="30">
      <c r="A1381" s="5" t="str">
        <f>HYPERLINK("https://www.oit.va.gov/Services/TRM/ToolPage.aspx?tid=7260^","Computer Associates (CA) Unified Infrastructure Management (UIM)")</f>
        <v>Computer Associates (CA) Unified Infrastructure Management (UIM)</v>
      </c>
      <c r="B1381" s="4" t="s">
        <v>604</v>
      </c>
      <c r="C1381" s="8" t="s">
        <v>5</v>
      </c>
      <c r="D1381" s="11" t="s">
        <v>1456</v>
      </c>
    </row>
    <row r="1382" spans="1:4" ht="30">
      <c r="A1382" s="5" t="str">
        <f>HYPERLINK("https://www.oit.va.gov/Services/TRM/ToolPage.aspx?tid=5798^","Symantec Directory")</f>
        <v>Symantec Directory</v>
      </c>
      <c r="B1382" s="4" t="s">
        <v>604</v>
      </c>
      <c r="C1382" s="8" t="s">
        <v>5</v>
      </c>
      <c r="D1382" s="11" t="s">
        <v>1975</v>
      </c>
    </row>
    <row r="1383" spans="1:4" ht="30">
      <c r="A1383" s="5" t="str">
        <f>HYPERLINK("https://www.oit.va.gov/Services/TRM/ToolPage.aspx?tid=16025^","Workload Automation System Agent (WASA)")</f>
        <v>Workload Automation System Agent (WASA)</v>
      </c>
      <c r="B1383" s="4" t="s">
        <v>604</v>
      </c>
      <c r="C1383" s="8" t="s">
        <v>5</v>
      </c>
      <c r="D1383" s="11" t="s">
        <v>557</v>
      </c>
    </row>
    <row r="1384" spans="1:4" ht="30">
      <c r="A1384" s="5" t="str">
        <f>HYPERLINK("https://www.oit.va.gov/Services/TRM/ToolPage.aspx?tid=5734^","Ghost Solution Suite")</f>
        <v>Ghost Solution Suite</v>
      </c>
      <c r="B1384" s="4" t="s">
        <v>604</v>
      </c>
      <c r="C1384" s="8" t="s">
        <v>5</v>
      </c>
      <c r="D1384" s="11" t="s">
        <v>2125</v>
      </c>
    </row>
    <row r="1385" spans="1:4" ht="30">
      <c r="A1385" s="5" t="str">
        <f>HYPERLINK("https://www.oit.va.gov/Services/TRM/ToolPage.aspx?tid=7332^","CA Configuration Automation")</f>
        <v>CA Configuration Automation</v>
      </c>
      <c r="B1385" s="4" t="s">
        <v>604</v>
      </c>
      <c r="C1385" s="8" t="s">
        <v>5</v>
      </c>
      <c r="D1385" s="11" t="s">
        <v>2431</v>
      </c>
    </row>
    <row r="1386" spans="1:4" ht="30">
      <c r="A1386" s="5" t="str">
        <f>HYPERLINK("https://www.oit.va.gov/Services/TRM/ToolPage.aspx?tid=9100^","CA Copycat")</f>
        <v>CA Copycat</v>
      </c>
      <c r="B1386" s="4" t="s">
        <v>604</v>
      </c>
      <c r="C1386" s="8" t="s">
        <v>5</v>
      </c>
      <c r="D1386" s="11" t="s">
        <v>2432</v>
      </c>
    </row>
    <row r="1387" spans="1:4" ht="30">
      <c r="A1387" s="5" t="str">
        <f>HYPERLINK("https://www.oit.va.gov/Services/TRM/ToolPage.aspx?tid=16738^","LDAP SERVER FOR Z/OS")</f>
        <v>LDAP SERVER FOR Z/OS</v>
      </c>
      <c r="B1387" s="4" t="s">
        <v>604</v>
      </c>
      <c r="C1387" s="8" t="s">
        <v>5</v>
      </c>
      <c r="D1387" s="11" t="s">
        <v>2731</v>
      </c>
    </row>
    <row r="1388" spans="1:4" ht="30">
      <c r="A1388" s="5" t="str">
        <f>HYPERLINK("https://www.oit.va.gov/Services/TRM/ToolPage.aspx?tid=6101^","PGP Encryption Desktop")</f>
        <v>PGP Encryption Desktop</v>
      </c>
      <c r="B1388" s="4" t="s">
        <v>604</v>
      </c>
      <c r="C1388" s="8" t="s">
        <v>5</v>
      </c>
      <c r="D1388" s="11" t="s">
        <v>2327</v>
      </c>
    </row>
    <row r="1389" spans="1:4" ht="30">
      <c r="A1389" s="5" t="str">
        <f>HYPERLINK("https://www.oit.va.gov/Services/TRM/ToolPage.aspx?tid=10217^","CA-Application Performance Management (APM)-Probe")</f>
        <v>CA-Application Performance Management (APM)-Probe</v>
      </c>
      <c r="B1389" s="4" t="s">
        <v>604</v>
      </c>
      <c r="C1389" s="8" t="s">
        <v>5</v>
      </c>
      <c r="D1389" s="11" t="s">
        <v>368</v>
      </c>
    </row>
    <row r="1390" spans="1:4" ht="30">
      <c r="A1390" s="5" t="str">
        <f>HYPERLINK("https://www.oit.va.gov/Services/TRM/ToolPage.aspx?tid=9115^","Broadcom Chorus Software Manager (CSM)")</f>
        <v>Broadcom Chorus Software Manager (CSM)</v>
      </c>
      <c r="B1390" s="4" t="s">
        <v>604</v>
      </c>
      <c r="C1390" s="8" t="s">
        <v>5</v>
      </c>
      <c r="D1390" s="11" t="s">
        <v>928</v>
      </c>
    </row>
    <row r="1391" spans="1:4" ht="30">
      <c r="A1391" s="5" t="str">
        <f>HYPERLINK("https://www.oit.va.gov/Services/TRM/ToolPage.aspx?tid=8383^","CA Datacom/DB")</f>
        <v>CA Datacom/DB</v>
      </c>
      <c r="B1391" s="4" t="s">
        <v>604</v>
      </c>
      <c r="C1391" s="8" t="s">
        <v>5</v>
      </c>
      <c r="D1391" s="11" t="s">
        <v>3186</v>
      </c>
    </row>
    <row r="1392" spans="1:4" ht="30">
      <c r="A1392" s="5" t="str">
        <f>HYPERLINK("https://www.oit.va.gov/Services/TRM/ToolPage.aspx?tid=13256^","CA Service Management")</f>
        <v>CA Service Management</v>
      </c>
      <c r="B1392" s="4" t="s">
        <v>604</v>
      </c>
      <c r="C1392" s="8" t="s">
        <v>5</v>
      </c>
      <c r="D1392" s="11" t="s">
        <v>3188</v>
      </c>
    </row>
    <row r="1393" spans="1:4" ht="30">
      <c r="A1393" s="5" t="str">
        <f>HYPERLINK("https://www.oit.va.gov/Services/TRM/ToolPage.aspx?tid=9347^","Computer Associates (CA) Integrated Database Management System (IDMS) Performance Monitor (PERFMON)")</f>
        <v>Computer Associates (CA) Integrated Database Management System (IDMS) Performance Monitor (PERFMON)</v>
      </c>
      <c r="B1393" s="4" t="s">
        <v>604</v>
      </c>
      <c r="C1393" s="8" t="s">
        <v>5</v>
      </c>
      <c r="D1393" s="11" t="s">
        <v>3222</v>
      </c>
    </row>
    <row r="1394" spans="1:4" ht="30">
      <c r="A1394" s="5" t="str">
        <f>HYPERLINK("https://www.oit.va.gov/Services/TRM/ToolPage.aspx?tid=14908^","Datacom/AD")</f>
        <v>Datacom/AD</v>
      </c>
      <c r="B1394" s="4" t="s">
        <v>604</v>
      </c>
      <c r="C1394" s="8" t="s">
        <v>5</v>
      </c>
      <c r="D1394" s="11" t="s">
        <v>3245</v>
      </c>
    </row>
    <row r="1395" spans="1:4" ht="30">
      <c r="A1395" s="5" t="str">
        <f>HYPERLINK("https://www.oit.va.gov/Services/TRM/ToolPage.aspx?tid=8485^","Librarian")</f>
        <v>Librarian</v>
      </c>
      <c r="B1395" s="4" t="s">
        <v>604</v>
      </c>
      <c r="C1395" s="8" t="s">
        <v>5</v>
      </c>
      <c r="D1395" s="11" t="s">
        <v>220</v>
      </c>
    </row>
    <row r="1396" spans="1:4" ht="30">
      <c r="A1396" s="5" t="str">
        <f>HYPERLINK("https://www.oit.va.gov/Services/TRM/ToolPage.aspx?tid=13506^","Service Operations Insight")</f>
        <v>Service Operations Insight</v>
      </c>
      <c r="B1396" s="4" t="s">
        <v>604</v>
      </c>
      <c r="C1396" s="8" t="s">
        <v>5</v>
      </c>
      <c r="D1396" s="11" t="s">
        <v>187</v>
      </c>
    </row>
    <row r="1397" spans="1:4" ht="30">
      <c r="A1397" s="5" t="str">
        <f>HYPERLINK("https://www.oit.va.gov/Services/TRM/ToolPage.aspx?tid=8489^","SOLVE:Operations Automation")</f>
        <v>SOLVE:Operations Automation</v>
      </c>
      <c r="B1397" s="4" t="s">
        <v>604</v>
      </c>
      <c r="C1397" s="8" t="s">
        <v>5</v>
      </c>
      <c r="D1397" s="11" t="s">
        <v>3539</v>
      </c>
    </row>
    <row r="1398" spans="1:4" ht="30">
      <c r="A1398" s="5" t="str">
        <f>HYPERLINK("https://www.oit.va.gov/Services/TRM/ToolPage.aspx?tid=9561^","Broadcom Integrated Data Management System (IDMS)")</f>
        <v>Broadcom Integrated Data Management System (IDMS)</v>
      </c>
      <c r="B1398" s="4" t="s">
        <v>604</v>
      </c>
      <c r="C1398" s="8" t="s">
        <v>5</v>
      </c>
      <c r="D1398" s="11" t="s">
        <v>189</v>
      </c>
    </row>
    <row r="1399" spans="1:4" ht="30">
      <c r="A1399" s="5" t="str">
        <f>HYPERLINK("https://www.oit.va.gov/Services/TRM/ToolPage.aspx?tid=8622^","CA 1 Tape Management")</f>
        <v>CA 1 Tape Management</v>
      </c>
      <c r="B1399" s="4" t="s">
        <v>604</v>
      </c>
      <c r="C1399" s="8" t="s">
        <v>5</v>
      </c>
      <c r="D1399" s="11" t="s">
        <v>3868</v>
      </c>
    </row>
    <row r="1400" spans="1:4" ht="30">
      <c r="A1400" s="5" t="str">
        <f>HYPERLINK("https://www.oit.va.gov/Services/TRM/ToolPage.aspx?tid=9167^","Computer Associates (CA) Integrated Database Management System (IDMS) Online Query (OLQ)")</f>
        <v>Computer Associates (CA) Integrated Database Management System (IDMS) Online Query (OLQ)</v>
      </c>
      <c r="B1400" s="4" t="s">
        <v>604</v>
      </c>
      <c r="C1400" s="8" t="s">
        <v>5</v>
      </c>
      <c r="D1400" s="11" t="s">
        <v>3959</v>
      </c>
    </row>
    <row r="1401" spans="1:4" ht="30">
      <c r="A1401" s="5" t="str">
        <f>HYPERLINK("https://www.oit.va.gov/Services/TRM/ToolPage.aspx?tid=10960^","Computer Associates (CA) Technologies Workload Automation iDASH")</f>
        <v>Computer Associates (CA) Technologies Workload Automation iDASH</v>
      </c>
      <c r="B1401" s="4" t="s">
        <v>604</v>
      </c>
      <c r="C1401" s="8" t="s">
        <v>5</v>
      </c>
      <c r="D1401" s="11" t="s">
        <v>3222</v>
      </c>
    </row>
    <row r="1402" spans="1:4" ht="30">
      <c r="A1402" s="5" t="str">
        <f>HYPERLINK("https://www.oit.va.gov/Services/TRM/ToolPage.aspx?tid=7073^","Service Virtualization")</f>
        <v>Service Virtualization</v>
      </c>
      <c r="B1402" s="4" t="s">
        <v>604</v>
      </c>
      <c r="C1402" s="8" t="s">
        <v>5</v>
      </c>
      <c r="D1402" s="11" t="s">
        <v>4781</v>
      </c>
    </row>
    <row r="1403" spans="1:4" ht="30">
      <c r="A1403" s="5" t="str">
        <f>HYPERLINK("https://www.oit.va.gov/Services/TRM/ToolPage.aspx?tid=9954^","CA Business Service Insight (BSI)")</f>
        <v>CA Business Service Insight (BSI)</v>
      </c>
      <c r="B1403" s="4" t="s">
        <v>604</v>
      </c>
      <c r="C1403" s="8" t="s">
        <v>5</v>
      </c>
      <c r="D1403" s="11" t="s">
        <v>939</v>
      </c>
    </row>
    <row r="1404" spans="1:4" ht="30">
      <c r="A1404" s="5" t="str">
        <f>HYPERLINK("https://www.oit.va.gov/Services/TRM/ToolPage.aspx?tid=9101^","CA Disk Backup and Restore")</f>
        <v>CA Disk Backup and Restore</v>
      </c>
      <c r="B1404" s="4" t="s">
        <v>604</v>
      </c>
      <c r="C1404" s="8" t="s">
        <v>5</v>
      </c>
      <c r="D1404" s="11" t="s">
        <v>2589</v>
      </c>
    </row>
    <row r="1405" spans="1:4" ht="30">
      <c r="A1405" s="5" t="str">
        <f>HYPERLINK("https://www.oit.va.gov/Services/TRM/ToolPage.aspx?tid=14669^","CA Unified Infrastructure Management Probes")</f>
        <v>CA Unified Infrastructure Management Probes</v>
      </c>
      <c r="B1405" s="4" t="s">
        <v>604</v>
      </c>
      <c r="C1405" s="8" t="s">
        <v>5</v>
      </c>
      <c r="D1405" s="11" t="s">
        <v>3780</v>
      </c>
    </row>
    <row r="1406" spans="1:4" ht="30">
      <c r="A1406" s="5" t="str">
        <f>HYPERLINK("https://www.oit.va.gov/Services/TRM/ToolPage.aspx?tid=14052^","Vantage Storage Resource Manager")</f>
        <v>Vantage Storage Resource Manager</v>
      </c>
      <c r="B1406" s="4" t="s">
        <v>604</v>
      </c>
      <c r="C1406" s="8" t="s">
        <v>5</v>
      </c>
      <c r="D1406" s="11" t="s">
        <v>5565</v>
      </c>
    </row>
    <row r="1407" spans="1:4" ht="30">
      <c r="A1407" s="5" t="str">
        <f>HYPERLINK("https://www.oit.va.gov/Services/TRM/ToolPage.aspx?tid=8021^","VMware ThinApp")</f>
        <v>VMware ThinApp</v>
      </c>
      <c r="B1407" s="4" t="s">
        <v>604</v>
      </c>
      <c r="C1407" s="8" t="s">
        <v>5</v>
      </c>
      <c r="D1407" s="11" t="s">
        <v>161</v>
      </c>
    </row>
    <row r="1408" spans="1:4" ht="30">
      <c r="A1408" s="5" t="str">
        <f>HYPERLINK("https://www.oit.va.gov/Services/TRM/ToolPage.aspx?tid=13293^","Automic Workload Automation")</f>
        <v>Automic Workload Automation</v>
      </c>
      <c r="B1408" s="4" t="s">
        <v>604</v>
      </c>
      <c r="C1408" s="8" t="s">
        <v>5</v>
      </c>
      <c r="D1408" s="11" t="s">
        <v>2997</v>
      </c>
    </row>
    <row r="1409" spans="1:4" ht="30">
      <c r="A1409" s="5" t="str">
        <f>HYPERLINK("https://www.oit.va.gov/Services/TRM/ToolPage.aspx?tid=9978^","Application Delivery Analysis")</f>
        <v>Application Delivery Analysis</v>
      </c>
      <c r="B1409" s="4" t="s">
        <v>604</v>
      </c>
      <c r="C1409" s="8" t="s">
        <v>5</v>
      </c>
      <c r="D1409" s="11" t="s">
        <v>6291</v>
      </c>
    </row>
    <row r="1410" spans="1:4" ht="30">
      <c r="A1410" s="5" t="str">
        <f>HYPERLINK("https://www.oit.va.gov/Services/TRM/ToolPage.aspx?tid=8623^","CA Allocate Direct Access Storage Device (DASD) Space and Placement")</f>
        <v>CA Allocate Direct Access Storage Device (DASD) Space and Placement</v>
      </c>
      <c r="B1410" s="4" t="s">
        <v>604</v>
      </c>
      <c r="C1410" s="8" t="s">
        <v>5</v>
      </c>
      <c r="D1410" s="11" t="s">
        <v>6373</v>
      </c>
    </row>
    <row r="1411" spans="1:4" ht="30">
      <c r="A1411" s="5" t="str">
        <f>HYPERLINK("https://www.oit.va.gov/Services/TRM/ToolPage.aspx?tid=8618^","CA Job Control Language Check (JCLCheck) Workload Automation")</f>
        <v>CA Job Control Language Check (JCLCheck) Workload Automation</v>
      </c>
      <c r="B1411" s="4" t="s">
        <v>604</v>
      </c>
      <c r="C1411" s="8" t="s">
        <v>5</v>
      </c>
      <c r="D1411" s="11" t="s">
        <v>6375</v>
      </c>
    </row>
    <row r="1412" spans="1:4" ht="30">
      <c r="A1412" s="5" t="str">
        <f>HYPERLINK("https://www.oit.va.gov/Services/TRM/ToolPage.aspx?tid=8105^","CA Service Catalog (SC)")</f>
        <v>CA Service Catalog (SC)</v>
      </c>
      <c r="B1412" s="4" t="s">
        <v>604</v>
      </c>
      <c r="C1412" s="8" t="s">
        <v>5</v>
      </c>
      <c r="D1412" s="11" t="s">
        <v>6363</v>
      </c>
    </row>
    <row r="1413" spans="1:4" ht="30">
      <c r="A1413" s="5" t="str">
        <f>HYPERLINK("https://www.oit.va.gov/Services/TRM/ToolPage.aspx?tid=9105^","CA VISION:Results")</f>
        <v>CA VISION:Results</v>
      </c>
      <c r="B1413" s="4" t="s">
        <v>604</v>
      </c>
      <c r="C1413" s="8" t="s">
        <v>5</v>
      </c>
      <c r="D1413" s="11" t="s">
        <v>3766</v>
      </c>
    </row>
    <row r="1414" spans="1:4" ht="30">
      <c r="A1414" s="5" t="str">
        <f>HYPERLINK("https://www.oit.va.gov/Services/TRM/ToolPage.aspx?tid=5589^","DX NetOps Performance Management")</f>
        <v>DX NetOps Performance Management</v>
      </c>
      <c r="B1414" s="4" t="s">
        <v>604</v>
      </c>
      <c r="C1414" s="8" t="s">
        <v>5</v>
      </c>
      <c r="D1414" s="11" t="s">
        <v>4036</v>
      </c>
    </row>
    <row r="1415" spans="1:4" ht="30">
      <c r="A1415" s="5" t="str">
        <f>HYPERLINK("https://www.oit.va.gov/Services/TRM/ToolPage.aspx?tid=9480^","Endevor")</f>
        <v>Endevor</v>
      </c>
      <c r="B1415" s="4" t="s">
        <v>604</v>
      </c>
      <c r="C1415" s="8" t="s">
        <v>5</v>
      </c>
      <c r="D1415" s="11" t="s">
        <v>1073</v>
      </c>
    </row>
    <row r="1416" spans="1:4" ht="30">
      <c r="A1416" s="5" t="str">
        <f>HYPERLINK("https://www.oit.va.gov/Services/TRM/ToolPage.aspx?tid=10246^","MegaRAID Storage Management (MSM)")</f>
        <v>MegaRAID Storage Management (MSM)</v>
      </c>
      <c r="B1416" s="4" t="s">
        <v>604</v>
      </c>
      <c r="C1416" s="8" t="s">
        <v>5</v>
      </c>
      <c r="D1416" s="11" t="s">
        <v>3365</v>
      </c>
    </row>
    <row r="1417" spans="1:4" ht="30">
      <c r="A1417" s="5" t="str">
        <f>HYPERLINK("https://www.oit.va.gov/Services/TRM/ToolPage.aspx?tid=5962^","OneCommand Manager")</f>
        <v>OneCommand Manager</v>
      </c>
      <c r="B1417" s="4" t="s">
        <v>604</v>
      </c>
      <c r="C1417" s="8" t="s">
        <v>5</v>
      </c>
      <c r="D1417" s="11" t="s">
        <v>6958</v>
      </c>
    </row>
    <row r="1418" spans="1:4" ht="30">
      <c r="A1418" s="5" t="str">
        <f>HYPERLINK("https://www.oit.va.gov/Services/TRM/ToolPage.aspx?tid=14143^","Operational Intelligence")</f>
        <v>Operational Intelligence</v>
      </c>
      <c r="B1418" s="4" t="s">
        <v>604</v>
      </c>
      <c r="C1418" s="8" t="s">
        <v>5</v>
      </c>
      <c r="D1418" s="11" t="s">
        <v>6143</v>
      </c>
    </row>
    <row r="1419" spans="1:4" ht="30">
      <c r="A1419" s="5" t="str">
        <f>HYPERLINK("https://www.oit.va.gov/Services/TRM/ToolPage.aspx?tid=13589^","Storage Area Network (SAN) Health Diagnostics Capture")</f>
        <v>Storage Area Network (SAN) Health Diagnostics Capture</v>
      </c>
      <c r="B1419" s="4" t="s">
        <v>604</v>
      </c>
      <c r="C1419" s="8" t="s">
        <v>5</v>
      </c>
      <c r="D1419" s="11" t="s">
        <v>5037</v>
      </c>
    </row>
    <row r="1420" spans="1:4" ht="30">
      <c r="A1420" s="5" t="str">
        <f>HYPERLINK("https://www.oit.va.gov/Services/TRM/ToolPage.aspx?tid=14042^","Storage Manager MSM")</f>
        <v>Storage Manager MSM</v>
      </c>
      <c r="B1420" s="4" t="s">
        <v>604</v>
      </c>
      <c r="C1420" s="8" t="s">
        <v>5</v>
      </c>
      <c r="D1420" s="11" t="s">
        <v>2928</v>
      </c>
    </row>
    <row r="1421" spans="1:4" ht="30">
      <c r="A1421" s="5" t="str">
        <f>HYPERLINK("https://www.oit.va.gov/Services/TRM/ToolPage.aspx?tid=6313^","Symantec Privileged Identity Manager (PIM)")</f>
        <v>Symantec Privileged Identity Manager (PIM)</v>
      </c>
      <c r="B1421" s="4" t="s">
        <v>604</v>
      </c>
      <c r="C1421" s="8" t="s">
        <v>5</v>
      </c>
      <c r="D1421" s="11" t="s">
        <v>7202</v>
      </c>
    </row>
    <row r="1422" spans="1:4" ht="30">
      <c r="A1422" s="5" t="str">
        <f>HYPERLINK("https://www.oit.va.gov/Services/TRM/ToolPage.aspx?tid=6493^","Veritas Enterprise Administrator")</f>
        <v>Veritas Enterprise Administrator</v>
      </c>
      <c r="B1422" s="4" t="s">
        <v>604</v>
      </c>
      <c r="C1422" s="8" t="s">
        <v>5</v>
      </c>
      <c r="D1422" s="11" t="s">
        <v>7272</v>
      </c>
    </row>
    <row r="1423" spans="1:4" ht="30">
      <c r="A1423" s="5" t="str">
        <f>HYPERLINK("https://www.oit.va.gov/Services/TRM/ToolPage.aspx?tid=13658^","3Ware Disk Manager (3DM)")</f>
        <v>3Ware Disk Manager (3DM)</v>
      </c>
      <c r="B1423" s="4" t="s">
        <v>604</v>
      </c>
      <c r="C1423" s="8" t="s">
        <v>5</v>
      </c>
      <c r="D1423" s="11" t="s">
        <v>7364</v>
      </c>
    </row>
    <row r="1424" spans="1:4" ht="30">
      <c r="A1424" s="5" t="str">
        <f>HYPERLINK("https://www.oit.va.gov/Services/TRM/ToolPage.aspx?tid=11236^","Apply Program Temporary Fix (PTF)")</f>
        <v>Apply Program Temporary Fix (PTF)</v>
      </c>
      <c r="B1424" s="4" t="s">
        <v>604</v>
      </c>
      <c r="C1424" s="8" t="s">
        <v>5</v>
      </c>
      <c r="D1424" s="11" t="s">
        <v>6410</v>
      </c>
    </row>
    <row r="1425" spans="1:4" ht="30">
      <c r="A1425" s="5" t="str">
        <f>HYPERLINK("https://www.oit.va.gov/Services/TRM/ToolPage.aspx?tid=10406^","Broadcom Advanced Control Suite (BACS)")</f>
        <v>Broadcom Advanced Control Suite (BACS)</v>
      </c>
      <c r="B1425" s="4" t="s">
        <v>604</v>
      </c>
      <c r="C1425" s="8" t="s">
        <v>5</v>
      </c>
      <c r="D1425" s="11" t="s">
        <v>7581</v>
      </c>
    </row>
    <row r="1426" spans="1:4" ht="30">
      <c r="A1426" s="5" t="str">
        <f>HYPERLINK("https://www.oit.va.gov/Services/TRM/ToolPage.aspx?tid=13360^","Broadcom Local Area Network (LAN) Wireless Driver and Utility")</f>
        <v>Broadcom Local Area Network (LAN) Wireless Driver and Utility</v>
      </c>
      <c r="B1426" s="4" t="s">
        <v>604</v>
      </c>
      <c r="C1426" s="8" t="s">
        <v>5</v>
      </c>
      <c r="D1426" s="11" t="s">
        <v>6239</v>
      </c>
    </row>
    <row r="1427" spans="1:4" ht="30">
      <c r="A1427" s="5" t="str">
        <f>HYPERLINK("https://www.oit.va.gov/Services/TRM/ToolPage.aspx?tid=9789^","Brocade Network Advisor")</f>
        <v>Brocade Network Advisor</v>
      </c>
      <c r="B1427" s="4" t="s">
        <v>604</v>
      </c>
      <c r="C1427" s="8" t="s">
        <v>5</v>
      </c>
      <c r="D1427" s="11" t="s">
        <v>7127</v>
      </c>
    </row>
    <row r="1428" spans="1:4" ht="30">
      <c r="A1428" s="5" t="str">
        <f>HYPERLINK("https://www.oit.va.gov/Services/TRM/ToolPage.aspx?tid=13281^","CA Capacity Command Center")</f>
        <v>CA Capacity Command Center</v>
      </c>
      <c r="B1428" s="4" t="s">
        <v>604</v>
      </c>
      <c r="C1428" s="8" t="s">
        <v>5</v>
      </c>
      <c r="D1428" s="11" t="s">
        <v>7591</v>
      </c>
    </row>
    <row r="1429" spans="1:4" ht="30">
      <c r="A1429" s="5" t="str">
        <f>HYPERLINK("https://www.oit.va.gov/Services/TRM/ToolPage.aspx?tid=9103^","CA SOLVE: InfoMaster")</f>
        <v>CA SOLVE: InfoMaster</v>
      </c>
      <c r="B1429" s="4" t="s">
        <v>604</v>
      </c>
      <c r="C1429" s="8" t="s">
        <v>5</v>
      </c>
      <c r="D1429" s="11" t="s">
        <v>2104</v>
      </c>
    </row>
    <row r="1430" spans="1:4" ht="30">
      <c r="A1430" s="5" t="str">
        <f>HYPERLINK("https://www.oit.va.gov/Services/TRM/ToolPage.aspx?tid=9104^","CA VISION:Excel")</f>
        <v>CA VISION:Excel</v>
      </c>
      <c r="B1430" s="4" t="s">
        <v>604</v>
      </c>
      <c r="C1430" s="8" t="s">
        <v>5</v>
      </c>
      <c r="D1430" s="11" t="s">
        <v>2104</v>
      </c>
    </row>
    <row r="1431" spans="1:4" ht="30">
      <c r="A1431" s="5" t="str">
        <f>HYPERLINK("https://www.oit.va.gov/Services/TRM/ToolPage.aspx?tid=9106^","CA VISION:Results Interface to CA-IDMS (Integrated Database Management System)")</f>
        <v>CA VISION:Results Interface to CA-IDMS (Integrated Database Management System)</v>
      </c>
      <c r="B1431" s="4" t="s">
        <v>604</v>
      </c>
      <c r="C1431" s="8" t="s">
        <v>5</v>
      </c>
      <c r="D1431" s="11" t="s">
        <v>2433</v>
      </c>
    </row>
    <row r="1432" spans="1:4" ht="30">
      <c r="A1432" s="5" t="str">
        <f>HYPERLINK("https://www.oit.va.gov/Services/TRM/ToolPage.aspx?tid=6254^","Computer Associates (CA) Federation")</f>
        <v>Computer Associates (CA) Federation</v>
      </c>
      <c r="B1432" s="4" t="s">
        <v>604</v>
      </c>
      <c r="C1432" s="8" t="s">
        <v>5</v>
      </c>
      <c r="D1432" s="11" t="s">
        <v>5135</v>
      </c>
    </row>
    <row r="1433" spans="1:4" ht="30">
      <c r="A1433" s="5" t="str">
        <f>HYPERLINK("https://www.oit.va.gov/Services/TRM/ToolPage.aspx?tid=5588^","Computer Associates (CA) NetMaster Network Management for Transmission Control Protocol (TCP)/ Internet Protocol (IP)")</f>
        <v>Computer Associates (CA) NetMaster Network Management for Transmission Control Protocol (TCP)/ Internet Protocol (IP)</v>
      </c>
      <c r="B1433" s="4" t="s">
        <v>604</v>
      </c>
      <c r="C1433" s="8" t="s">
        <v>5</v>
      </c>
      <c r="D1433" s="11" t="s">
        <v>3458</v>
      </c>
    </row>
    <row r="1434" spans="1:4" ht="30">
      <c r="A1434" s="5" t="str">
        <f>HYPERLINK("https://www.oit.va.gov/Services/TRM/ToolPage.aspx?tid=9962^","DX NetOps Spectrum")</f>
        <v>DX NetOps Spectrum</v>
      </c>
      <c r="B1434" s="4" t="s">
        <v>604</v>
      </c>
      <c r="C1434" s="8" t="s">
        <v>5</v>
      </c>
      <c r="D1434" s="11" t="s">
        <v>196</v>
      </c>
    </row>
    <row r="1435" spans="1:4" ht="30">
      <c r="A1435" s="5" t="str">
        <f>HYPERLINK("https://www.oit.va.gov/Services/TRM/ToolPage.aspx?tid=11261^","HBAnyware")</f>
        <v>HBAnyware</v>
      </c>
      <c r="B1435" s="4" t="s">
        <v>604</v>
      </c>
      <c r="C1435" s="8" t="s">
        <v>5</v>
      </c>
      <c r="D1435" s="11" t="s">
        <v>7217</v>
      </c>
    </row>
    <row r="1436" spans="1:4" ht="30">
      <c r="A1436" s="5" t="str">
        <f>HYPERLINK("https://www.oit.va.gov/Services/TRM/ToolPage.aspx?tid=9969^","Symantec Mail Security for Microsoft Exchange")</f>
        <v>Symantec Mail Security for Microsoft Exchange</v>
      </c>
      <c r="B1436" s="4" t="s">
        <v>604</v>
      </c>
      <c r="C1436" s="8" t="s">
        <v>5</v>
      </c>
      <c r="D1436" s="11" t="s">
        <v>8769</v>
      </c>
    </row>
    <row r="1437" spans="1:4" ht="30">
      <c r="A1437" s="5" t="str">
        <f>HYPERLINK("https://www.oit.va.gov/Services/TRM/ToolPage.aspx?tid=10014^","Symantec Messaging Gateway")</f>
        <v>Symantec Messaging Gateway</v>
      </c>
      <c r="B1437" s="4" t="s">
        <v>604</v>
      </c>
      <c r="C1437" s="8" t="s">
        <v>5</v>
      </c>
      <c r="D1437" s="11" t="s">
        <v>6101</v>
      </c>
    </row>
    <row r="1438" spans="1:4" ht="30">
      <c r="A1438" s="5" t="str">
        <f>HYPERLINK("https://www.oit.va.gov/Services/TRM/ToolPage.aspx?tid=14484^","WIDCOMM Bluetooth")</f>
        <v>WIDCOMM Bluetooth</v>
      </c>
      <c r="B1438" s="4" t="s">
        <v>604</v>
      </c>
      <c r="C1438" s="8" t="s">
        <v>5</v>
      </c>
      <c r="D1438" s="11" t="s">
        <v>8897</v>
      </c>
    </row>
    <row r="1439" spans="1:4" ht="30">
      <c r="A1439" s="5" t="str">
        <f>HYPERLINK("https://www.oit.va.gov/Services/TRM/ToolPage.aspx?tid=7554^","iLinc Client")</f>
        <v>iLinc Client</v>
      </c>
      <c r="B1439" s="4" t="s">
        <v>3331</v>
      </c>
      <c r="C1439" s="8" t="s">
        <v>5</v>
      </c>
      <c r="D1439" s="11" t="s">
        <v>3332</v>
      </c>
    </row>
    <row r="1440" spans="1:4" ht="30">
      <c r="A1440" s="5" t="str">
        <f>HYPERLINK("https://www.oit.va.gov/Services/TRM/ToolPage.aspx?tid=15520^","BroadView Software Traffic System")</f>
        <v>BroadView Software Traffic System</v>
      </c>
      <c r="B1440" s="4" t="s">
        <v>1385</v>
      </c>
      <c r="C1440" s="8" t="s">
        <v>5</v>
      </c>
      <c r="D1440" s="11" t="s">
        <v>1386</v>
      </c>
    </row>
    <row r="1441" spans="1:4" ht="30">
      <c r="A1441" s="5" t="str">
        <f>HYPERLINK("https://www.oit.va.gov/Services/TRM/ToolPage.aspx?tid=8131^","Mavis Beacon Teaches Typing")</f>
        <v>Mavis Beacon Teaches Typing</v>
      </c>
      <c r="B1441" s="4" t="s">
        <v>6832</v>
      </c>
      <c r="C1441" s="8" t="s">
        <v>5</v>
      </c>
      <c r="D1441" s="11" t="s">
        <v>2755</v>
      </c>
    </row>
    <row r="1442" spans="1:4" ht="30">
      <c r="A1442" s="5" t="str">
        <f>HYPERLINK("https://www.oit.va.gov/Services/TRM/ToolPage.aspx?tid=7074^","Calendar Creator Deluxe")</f>
        <v>Calendar Creator Deluxe</v>
      </c>
      <c r="B1442" s="4" t="s">
        <v>6832</v>
      </c>
      <c r="C1442" s="8" t="s">
        <v>5</v>
      </c>
      <c r="D1442" s="11" t="s">
        <v>7599</v>
      </c>
    </row>
    <row r="1443" spans="1:4" ht="30">
      <c r="A1443" s="5" t="str">
        <f>HYPERLINK("https://www.oit.va.gov/Services/TRM/ToolPage.aspx?tid=13473^","PrintMaster")</f>
        <v>PrintMaster</v>
      </c>
      <c r="B1443" s="4" t="s">
        <v>6832</v>
      </c>
      <c r="C1443" s="8" t="s">
        <v>5</v>
      </c>
      <c r="D1443" s="11" t="s">
        <v>8478</v>
      </c>
    </row>
    <row r="1444" spans="1:4" ht="30">
      <c r="A1444" s="5" t="str">
        <f>HYPERLINK("https://www.oit.va.gov/Services/TRM/ToolPage.aspx?tid=9985^","Remote Print Manager (RPM)")</f>
        <v>Remote Print Manager (RPM)</v>
      </c>
      <c r="B1444" s="4" t="s">
        <v>3484</v>
      </c>
      <c r="C1444" s="8" t="s">
        <v>5</v>
      </c>
      <c r="D1444" s="11" t="s">
        <v>3485</v>
      </c>
    </row>
    <row r="1445" spans="1:4" ht="30">
      <c r="A1445" s="5" t="str">
        <f>HYPERLINK("https://www.oit.va.gov/Services/TRM/ToolPage.aspx?tid=9991^","Brother Industries Multi-Function Link Pro Suite")</f>
        <v>Brother Industries Multi-Function Link Pro Suite</v>
      </c>
      <c r="B1445" s="4" t="s">
        <v>2425</v>
      </c>
      <c r="C1445" s="8" t="s">
        <v>5</v>
      </c>
      <c r="D1445" s="11" t="s">
        <v>2426</v>
      </c>
    </row>
    <row r="1446" spans="1:4" ht="30">
      <c r="A1446" s="5" t="str">
        <f>HYPERLINK("https://www.oit.va.gov/Services/TRM/ToolPage.aspx?tid=15658^","Brother iPrint and Scan")</f>
        <v>Brother iPrint and Scan</v>
      </c>
      <c r="B1446" s="4" t="s">
        <v>2425</v>
      </c>
      <c r="C1446" s="8" t="s">
        <v>5</v>
      </c>
      <c r="D1446" s="11" t="s">
        <v>3182</v>
      </c>
    </row>
    <row r="1447" spans="1:4" ht="30">
      <c r="A1447" s="5" t="str">
        <f>HYPERLINK("https://www.oit.va.gov/Services/TRM/ToolPage.aspx?tid=13120^","Control Center 4 (CC4)")</f>
        <v>Control Center 4 (CC4)</v>
      </c>
      <c r="B1447" s="4" t="s">
        <v>2425</v>
      </c>
      <c r="C1447" s="8" t="s">
        <v>5</v>
      </c>
      <c r="D1447" s="11" t="s">
        <v>2384</v>
      </c>
    </row>
    <row r="1448" spans="1:4" ht="30">
      <c r="A1448" s="5" t="str">
        <f>HYPERLINK("https://www.oit.va.gov/Services/TRM/ToolPage.aspx?tid=9699^","P-Touch Editor")</f>
        <v>P-Touch Editor</v>
      </c>
      <c r="B1448" s="4" t="s">
        <v>2425</v>
      </c>
      <c r="C1448" s="8" t="s">
        <v>5</v>
      </c>
      <c r="D1448" s="11" t="s">
        <v>3837</v>
      </c>
    </row>
    <row r="1449" spans="1:4" ht="30">
      <c r="A1449" s="5" t="str">
        <f>HYPERLINK("https://www.oit.va.gov/Services/TRM/ToolPage.aspx?tid=15807^","Brother Barcode Utility")</f>
        <v>Brother Barcode Utility</v>
      </c>
      <c r="B1449" s="4" t="s">
        <v>2425</v>
      </c>
      <c r="C1449" s="8" t="s">
        <v>5</v>
      </c>
      <c r="D1449" s="11" t="s">
        <v>6364</v>
      </c>
    </row>
    <row r="1450" spans="1:4" ht="30">
      <c r="A1450" s="5" t="str">
        <f>HYPERLINK("https://www.oit.va.gov/Services/TRM/ToolPage.aspx?tid=15098^","Network Connection Repair Tool")</f>
        <v>Network Connection Repair Tool</v>
      </c>
      <c r="B1450" s="4" t="s">
        <v>2425</v>
      </c>
      <c r="C1450" s="8" t="s">
        <v>5</v>
      </c>
      <c r="D1450" s="11" t="s">
        <v>2311</v>
      </c>
    </row>
    <row r="1451" spans="1:4" ht="30">
      <c r="A1451" s="5" t="str">
        <f>HYPERLINK("https://www.oit.va.gov/Services/TRM/ToolPage.aspx?tid=14172^","Bradmin Light")</f>
        <v>Bradmin Light</v>
      </c>
      <c r="B1451" s="4" t="s">
        <v>2425</v>
      </c>
      <c r="C1451" s="8" t="s">
        <v>5</v>
      </c>
      <c r="D1451" s="11" t="s">
        <v>7523</v>
      </c>
    </row>
    <row r="1452" spans="1:4" ht="30">
      <c r="A1452" s="5" t="str">
        <f>HYPERLINK("https://www.oit.va.gov/Services/TRM/ToolPage.aspx?tid=15127^","Personal Computer-Facsimile (PC-Fax) Receive")</f>
        <v>Personal Computer-Facsimile (PC-Fax) Receive</v>
      </c>
      <c r="B1452" s="4" t="s">
        <v>2425</v>
      </c>
      <c r="C1452" s="8" t="s">
        <v>5</v>
      </c>
      <c r="D1452" s="11" t="s">
        <v>8421</v>
      </c>
    </row>
    <row r="1453" spans="1:4" ht="30">
      <c r="A1453" s="5" t="str">
        <f>HYPERLINK("https://www.oit.va.gov/Services/TRM/ToolPage.aspx?tid=10252^","P-touch Address Book")</f>
        <v>P-touch Address Book</v>
      </c>
      <c r="B1453" s="4" t="s">
        <v>2425</v>
      </c>
      <c r="C1453" s="8" t="s">
        <v>5</v>
      </c>
      <c r="D1453" s="11" t="s">
        <v>3305</v>
      </c>
    </row>
    <row r="1454" spans="1:4" ht="30">
      <c r="A1454" s="5" t="str">
        <f>HYPERLINK("https://www.oit.va.gov/Services/TRM/ToolPage.aspx?tid=7490^","Protector Type 7825")</f>
        <v>Protector Type 7825</v>
      </c>
      <c r="B1454" s="4" t="s">
        <v>3471</v>
      </c>
      <c r="C1454" s="8" t="s">
        <v>5</v>
      </c>
      <c r="D1454" s="11" t="s">
        <v>3472</v>
      </c>
    </row>
    <row r="1455" spans="1:4" ht="30">
      <c r="A1455" s="5" t="str">
        <f>HYPERLINK("https://www.oit.va.gov/Services/TRM/ToolPage.aspx?tid=16853^","Measure Killer")</f>
        <v>Measure Killer</v>
      </c>
      <c r="B1455" s="4" t="s">
        <v>5930</v>
      </c>
      <c r="C1455" s="8" t="s">
        <v>5</v>
      </c>
      <c r="D1455" s="11" t="s">
        <v>5931</v>
      </c>
    </row>
    <row r="1456" spans="1:4" ht="30">
      <c r="A1456" s="5" t="str">
        <f>HYPERLINK("https://www.oit.va.gov/Services/TRM/ToolPage.aspx?tid=16783^","Bruno")</f>
        <v>Bruno</v>
      </c>
      <c r="B1456" s="4" t="s">
        <v>3862</v>
      </c>
      <c r="C1456" s="8" t="s">
        <v>5</v>
      </c>
      <c r="D1456" s="11" t="s">
        <v>3863</v>
      </c>
    </row>
    <row r="1457" spans="1:4" ht="30">
      <c r="A1457" s="5" t="str">
        <f>HYPERLINK("https://www.oit.va.gov/Services/TRM/ToolPage.aspx?tid=9372^","G-Studio")</f>
        <v>G-Studio</v>
      </c>
      <c r="B1457" s="4" t="s">
        <v>8003</v>
      </c>
      <c r="C1457" s="8" t="s">
        <v>5</v>
      </c>
      <c r="D1457" s="11" t="s">
        <v>8004</v>
      </c>
    </row>
    <row r="1458" spans="1:4" ht="30">
      <c r="A1458" s="5" t="str">
        <f>HYPERLINK("https://www.oit.va.gov/Services/TRM/ToolPage.aspx?tid=8590^","LAME")</f>
        <v>LAME</v>
      </c>
      <c r="B1458" s="4" t="s">
        <v>5304</v>
      </c>
      <c r="C1458" s="8" t="s">
        <v>5</v>
      </c>
      <c r="D1458" s="11" t="s">
        <v>4222</v>
      </c>
    </row>
    <row r="1459" spans="1:4" ht="30">
      <c r="A1459" s="5" t="str">
        <f>HYPERLINK("https://www.oit.va.gov/Services/TRM/ToolPage.aspx?tid=16798^","Bucher + Suter (B + S) Connects for Microsoft Dynamics")</f>
        <v>Bucher + Suter (B + S) Connects for Microsoft Dynamics</v>
      </c>
      <c r="B1459" s="4" t="s">
        <v>3864</v>
      </c>
      <c r="C1459" s="8" t="s">
        <v>5</v>
      </c>
      <c r="D1459" s="11" t="s">
        <v>3865</v>
      </c>
    </row>
    <row r="1460" spans="1:4" ht="30">
      <c r="A1460" s="5" t="str">
        <f>HYPERLINK("https://www.oit.va.gov/Services/TRM/ToolPage.aspx?tid=5809^","Bugzilla")</f>
        <v>Bugzilla</v>
      </c>
      <c r="B1460" s="4" t="s">
        <v>7584</v>
      </c>
      <c r="C1460" s="8" t="s">
        <v>5</v>
      </c>
      <c r="D1460" s="11" t="s">
        <v>7585</v>
      </c>
    </row>
    <row r="1461" spans="1:4" ht="30">
      <c r="A1461" s="5" t="str">
        <f>HYPERLINK("https://www.oit.va.gov/Services/TRM/ToolPage.aspx?tid=5741^","Tweak UI")</f>
        <v>Tweak UI</v>
      </c>
      <c r="B1461" s="4" t="s">
        <v>7258</v>
      </c>
      <c r="C1461" s="8" t="s">
        <v>5</v>
      </c>
      <c r="D1461" s="11" t="s">
        <v>6834</v>
      </c>
    </row>
    <row r="1462" spans="1:4" ht="30">
      <c r="A1462" s="5" t="str">
        <f>HYPERLINK("https://www.oit.va.gov/Services/TRM/ToolPage.aspx?tid=10112^","General Comprehensive Operating System 8 (GCOS 8)")</f>
        <v>General Comprehensive Operating System 8 (GCOS 8)</v>
      </c>
      <c r="B1462" s="4" t="s">
        <v>4178</v>
      </c>
      <c r="C1462" s="8" t="s">
        <v>5</v>
      </c>
      <c r="D1462" s="11" t="s">
        <v>1569</v>
      </c>
    </row>
    <row r="1463" spans="1:4" ht="30">
      <c r="A1463" s="5" t="str">
        <f>HYPERLINK("https://www.oit.va.gov/Services/TRM/ToolPage.aspx?tid=7534^","Integrated Data Store (IDS) II")</f>
        <v>Integrated Data Store (IDS) II</v>
      </c>
      <c r="B1463" s="4" t="s">
        <v>4178</v>
      </c>
      <c r="C1463" s="8" t="s">
        <v>5</v>
      </c>
      <c r="D1463" s="11" t="s">
        <v>8091</v>
      </c>
    </row>
    <row r="1464" spans="1:4" ht="30">
      <c r="A1464" s="5" t="str">
        <f>HYPERLINK("https://www.oit.va.gov/Services/TRM/ToolPage.aspx?tid=15181^","StoreWay Virtuo Software")</f>
        <v>StoreWay Virtuo Software</v>
      </c>
      <c r="B1464" s="4" t="s">
        <v>4178</v>
      </c>
      <c r="C1464" s="8" t="s">
        <v>5</v>
      </c>
      <c r="D1464" s="11" t="s">
        <v>8737</v>
      </c>
    </row>
    <row r="1465" spans="1:4" ht="30">
      <c r="A1465" s="5" t="str">
        <f>HYPERLINK("https://www.oit.va.gov/Services/TRM/ToolPage.aspx?tid=5586^","Bullzip Portable Document Format (PDF) Printer")</f>
        <v>Bullzip Portable Document Format (PDF) Printer</v>
      </c>
      <c r="B1465" s="4" t="s">
        <v>3866</v>
      </c>
      <c r="C1465" s="8" t="s">
        <v>5</v>
      </c>
      <c r="D1465" s="11" t="s">
        <v>3867</v>
      </c>
    </row>
    <row r="1466" spans="1:4" ht="30">
      <c r="A1466" s="5" t="str">
        <f>HYPERLINK("https://www.oit.va.gov/Services/TRM/ToolPage.aspx?tid=8185^","Aphasia Tutor 1: Words +Out Loud")</f>
        <v>Aphasia Tutor 1: Words +Out Loud</v>
      </c>
      <c r="B1466" s="4" t="s">
        <v>5056</v>
      </c>
      <c r="C1466" s="8" t="s">
        <v>5</v>
      </c>
      <c r="D1466" s="11" t="s">
        <v>5057</v>
      </c>
    </row>
    <row r="1467" spans="1:4" ht="30">
      <c r="A1467" s="5" t="str">
        <f>HYPERLINK("https://www.oit.va.gov/Services/TRM/ToolPage.aspx?tid=13613^","SpeechPrism")</f>
        <v>SpeechPrism</v>
      </c>
      <c r="B1467" s="4" t="s">
        <v>5056</v>
      </c>
      <c r="C1467" s="8" t="s">
        <v>5</v>
      </c>
      <c r="D1467" s="11" t="s">
        <v>5488</v>
      </c>
    </row>
    <row r="1468" spans="1:4" ht="30">
      <c r="A1468" s="5" t="str">
        <f>HYPERLINK("https://www.oit.va.gov/Services/TRM/ToolPage.aspx?tid=6651^","OTCnet")</f>
        <v>OTCnet</v>
      </c>
      <c r="B1468" s="4" t="s">
        <v>796</v>
      </c>
      <c r="C1468" s="8" t="s">
        <v>5</v>
      </c>
      <c r="D1468" s="11" t="s">
        <v>121</v>
      </c>
    </row>
    <row r="1469" spans="1:4" ht="30">
      <c r="A1469" s="5" t="str">
        <f>HYPERLINK("https://www.oit.va.gov/Services/TRM/ToolPage.aspx?tid=15337^","Over-the-Counter Channel Local Bridge (OTCnet OLB)")</f>
        <v>Over-the-Counter Channel Local Bridge (OTCnet OLB)</v>
      </c>
      <c r="B1469" s="4" t="s">
        <v>796</v>
      </c>
      <c r="C1469" s="8" t="s">
        <v>5</v>
      </c>
      <c r="D1469" s="11" t="s">
        <v>2792</v>
      </c>
    </row>
    <row r="1470" spans="1:4" ht="30">
      <c r="A1470" s="5" t="str">
        <f>HYPERLINK("https://www.oit.va.gov/Services/TRM/ToolPage.aspx?tid=7578^","BURLODGE BWise Software")</f>
        <v>BURLODGE BWise Software</v>
      </c>
      <c r="B1470" s="4" t="s">
        <v>5082</v>
      </c>
      <c r="C1470" s="8" t="s">
        <v>5</v>
      </c>
      <c r="D1470" s="11" t="s">
        <v>5083</v>
      </c>
    </row>
    <row r="1471" spans="1:4" ht="30">
      <c r="A1471" s="5" t="str">
        <f>HYPERLINK("https://www.oit.va.gov/Services/TRM/ToolPage.aspx?tid=13651^","Burnaware")</f>
        <v>Burnaware</v>
      </c>
      <c r="B1471" s="4" t="s">
        <v>5082</v>
      </c>
      <c r="C1471" s="8" t="s">
        <v>5</v>
      </c>
      <c r="D1471" s="11" t="s">
        <v>5084</v>
      </c>
    </row>
    <row r="1472" spans="1:4" ht="30">
      <c r="A1472" s="5" t="str">
        <f>HYPERLINK("https://www.oit.va.gov/Services/TRM/StandardPage.aspx?tid=9534^","MT63")</f>
        <v>MT63</v>
      </c>
      <c r="B1472" s="4" t="s">
        <v>8286</v>
      </c>
      <c r="C1472" s="8" t="s">
        <v>5</v>
      </c>
      <c r="D1472" s="11" t="s">
        <v>8287</v>
      </c>
    </row>
    <row r="1473" spans="1:4" ht="30">
      <c r="A1473" s="5" t="str">
        <f>HYPERLINK("https://www.oit.va.gov/Services/TRM/ToolPage.aspx?tid=9721^","bzip2")</f>
        <v>bzip2</v>
      </c>
      <c r="B1473" s="4" t="s">
        <v>6369</v>
      </c>
      <c r="C1473" s="8" t="s">
        <v>5</v>
      </c>
      <c r="D1473" s="11" t="s">
        <v>6370</v>
      </c>
    </row>
    <row r="1474" spans="1:4" ht="30">
      <c r="A1474" s="5" t="str">
        <f>HYPERLINK("https://www.oit.va.gov/Services/TRM/ToolPage.aspx?tid=10028^","Site Management and Recovery Tool (SMART)")</f>
        <v>Site Management and Recovery Tool (SMART)</v>
      </c>
      <c r="B1474" s="4" t="s">
        <v>8662</v>
      </c>
      <c r="C1474" s="8" t="s">
        <v>5</v>
      </c>
      <c r="D1474" s="11" t="s">
        <v>8663</v>
      </c>
    </row>
    <row r="1475" spans="1:4" ht="30">
      <c r="A1475" s="5" t="str">
        <f>HYPERLINK("https://www.oit.va.gov/Services/TRM/ToolPage.aspx?tid=5454^","DX Application Performance Management (APM)")</f>
        <v>DX Application Performance Management (APM)</v>
      </c>
      <c r="B1475" s="4" t="s">
        <v>660</v>
      </c>
      <c r="C1475" s="8" t="s">
        <v>5</v>
      </c>
      <c r="D1475" s="11" t="s">
        <v>661</v>
      </c>
    </row>
    <row r="1476" spans="1:4" ht="30">
      <c r="A1476" s="5" t="str">
        <f>HYPERLINK("https://www.oit.va.gov/Services/TRM/ToolPage.aspx?tid=9107^","CA VISION:Sixty")</f>
        <v>CA VISION:Sixty</v>
      </c>
      <c r="B1476" s="4" t="s">
        <v>660</v>
      </c>
      <c r="C1476" s="8" t="s">
        <v>5</v>
      </c>
      <c r="D1476" s="11" t="s">
        <v>2433</v>
      </c>
    </row>
    <row r="1477" spans="1:4" ht="30">
      <c r="A1477" s="5" t="str">
        <f>HYPERLINK("https://www.oit.va.gov/Services/TRM/ToolPage.aspx?tid=11538^","CA Integrated Data Management Systems (IDMS)")</f>
        <v>CA Integrated Data Management Systems (IDMS)</v>
      </c>
      <c r="B1477" s="4" t="s">
        <v>660</v>
      </c>
      <c r="C1477" s="8" t="s">
        <v>5</v>
      </c>
      <c r="D1477" s="11" t="s">
        <v>3187</v>
      </c>
    </row>
    <row r="1478" spans="1:4" ht="30">
      <c r="A1478" s="5" t="str">
        <f>HYPERLINK("https://www.oit.va.gov/Services/TRM/ToolPage.aspx?tid=9201^","Rally Software")</f>
        <v>Rally Software</v>
      </c>
      <c r="B1478" s="4" t="s">
        <v>660</v>
      </c>
      <c r="C1478" s="8" t="s">
        <v>5</v>
      </c>
      <c r="D1478" s="11" t="s">
        <v>3479</v>
      </c>
    </row>
    <row r="1479" spans="1:4" ht="30">
      <c r="A1479" s="5" t="str">
        <f>HYPERLINK("https://www.oit.va.gov/Services/TRM/ToolPage.aspx?tid=9097^","CA 7 Workload Automation")</f>
        <v>CA 7 Workload Automation</v>
      </c>
      <c r="B1479" s="4" t="s">
        <v>660</v>
      </c>
      <c r="C1479" s="8" t="s">
        <v>5</v>
      </c>
      <c r="D1479" s="11" t="s">
        <v>3869</v>
      </c>
    </row>
    <row r="1480" spans="1:4" ht="30">
      <c r="A1480" s="5" t="str">
        <f>HYPERLINK("https://www.oit.va.gov/Services/TRM/ToolPage.aspx?tid=9481^","Broadcom Endevor Software Change Manager (SCM)")</f>
        <v>Broadcom Endevor Software Change Manager (SCM)</v>
      </c>
      <c r="B1480" s="4" t="s">
        <v>660</v>
      </c>
      <c r="C1480" s="8" t="s">
        <v>5</v>
      </c>
      <c r="D1480" s="11" t="s">
        <v>5689</v>
      </c>
    </row>
    <row r="1481" spans="1:4" ht="30">
      <c r="A1481" s="5" t="str">
        <f>HYPERLINK("https://www.oit.va.gov/Services/TRM/ToolPage.aspx?tid=5587^","CA Asset Portfolio Management")</f>
        <v>CA Asset Portfolio Management</v>
      </c>
      <c r="B1481" s="4" t="s">
        <v>660</v>
      </c>
      <c r="C1481" s="8" t="s">
        <v>5</v>
      </c>
      <c r="D1481" s="11" t="s">
        <v>2156</v>
      </c>
    </row>
    <row r="1482" spans="1:4" ht="30">
      <c r="A1482" s="5" t="str">
        <f>HYPERLINK("https://www.oit.va.gov/Services/TRM/ToolPage.aspx?tid=10150^","CA eHealth")</f>
        <v>CA eHealth</v>
      </c>
      <c r="B1482" s="4" t="s">
        <v>660</v>
      </c>
      <c r="C1482" s="8" t="s">
        <v>5</v>
      </c>
      <c r="D1482" s="11" t="s">
        <v>6374</v>
      </c>
    </row>
    <row r="1483" spans="1:4" ht="30">
      <c r="A1483" s="5" t="str">
        <f>HYPERLINK("https://www.oit.va.gov/Services/TRM/ToolPage.aspx?tid=13568^","CA Anti-Spyware")</f>
        <v>CA Anti-Spyware</v>
      </c>
      <c r="B1483" s="4" t="s">
        <v>660</v>
      </c>
      <c r="C1483" s="8" t="s">
        <v>5</v>
      </c>
      <c r="D1483" s="11" t="s">
        <v>6914</v>
      </c>
    </row>
    <row r="1484" spans="1:4" ht="30">
      <c r="A1484" s="5" t="str">
        <f>HYPERLINK("https://www.oit.va.gov/Services/TRM/ToolPage.aspx?tid=13296^","CA Client Automation")</f>
        <v>CA Client Automation</v>
      </c>
      <c r="B1484" s="4" t="s">
        <v>660</v>
      </c>
      <c r="C1484" s="8" t="s">
        <v>5</v>
      </c>
      <c r="D1484" s="11" t="s">
        <v>6319</v>
      </c>
    </row>
    <row r="1485" spans="1:4" ht="30">
      <c r="A1485" s="5" t="str">
        <f>HYPERLINK("https://www.oit.va.gov/Services/TRM/ToolPage.aspx?tid=13571^","CA Unified Reporter")</f>
        <v>CA Unified Reporter</v>
      </c>
      <c r="B1485" s="4" t="s">
        <v>660</v>
      </c>
      <c r="C1485" s="8" t="s">
        <v>5</v>
      </c>
      <c r="D1485" s="11" t="s">
        <v>7592</v>
      </c>
    </row>
    <row r="1486" spans="1:4" ht="30">
      <c r="A1486" s="5" t="str">
        <f>HYPERLINK("https://www.oit.va.gov/Services/TRM/ToolPage.aspx?tid=13442^","Capacity Manager")</f>
        <v>Capacity Manager</v>
      </c>
      <c r="B1486" s="4" t="s">
        <v>660</v>
      </c>
      <c r="C1486" s="8" t="s">
        <v>5</v>
      </c>
      <c r="D1486" s="11" t="s">
        <v>7610</v>
      </c>
    </row>
    <row r="1487" spans="1:4" ht="30">
      <c r="A1487" s="5" t="str">
        <f>HYPERLINK("https://www.oit.va.gov/Services/TRM/ToolPage.aspx?tid=13597^","Network Flow Analysis (NFA)")</f>
        <v>Network Flow Analysis (NFA)</v>
      </c>
      <c r="B1487" s="4" t="s">
        <v>660</v>
      </c>
      <c r="C1487" s="8" t="s">
        <v>5</v>
      </c>
      <c r="D1487" s="11" t="s">
        <v>7366</v>
      </c>
    </row>
    <row r="1488" spans="1:4" ht="30">
      <c r="A1488" s="5" t="str">
        <f>HYPERLINK("https://www.oit.va.gov/Services/TRM/ToolPage.aspx?tid=13378^","Web Agent Option Pack")</f>
        <v>Web Agent Option Pack</v>
      </c>
      <c r="B1488" s="4" t="s">
        <v>660</v>
      </c>
      <c r="C1488" s="8" t="s">
        <v>5</v>
      </c>
      <c r="D1488" s="11" t="s">
        <v>7761</v>
      </c>
    </row>
    <row r="1489" spans="1:4" ht="30">
      <c r="A1489" s="5" t="str">
        <f>HYPERLINK("https://www.oit.va.gov/Services/TRM/ToolPage.aspx?tid=14725^","MediaStar Media Manager")</f>
        <v>MediaStar Media Manager</v>
      </c>
      <c r="B1489" s="4" t="s">
        <v>5933</v>
      </c>
      <c r="C1489" s="8" t="s">
        <v>5</v>
      </c>
      <c r="D1489" s="11" t="s">
        <v>5934</v>
      </c>
    </row>
    <row r="1490" spans="1:4" ht="30">
      <c r="A1490" s="5" t="str">
        <f>HYPERLINK("https://www.oit.va.gov/Services/TRM/ToolPage.aspx?tid=10988^","SignLab")</f>
        <v>SignLab</v>
      </c>
      <c r="B1490" s="4" t="s">
        <v>461</v>
      </c>
      <c r="C1490" s="8" t="s">
        <v>5</v>
      </c>
      <c r="D1490" s="11" t="s">
        <v>462</v>
      </c>
    </row>
    <row r="1491" spans="1:4" ht="30">
      <c r="A1491" s="5" t="str">
        <f>HYPERLINK("https://www.oit.va.gov/Services/TRM/ToolPage.aspx?tid=13588^","EngraveLab")</f>
        <v>EngraveLab</v>
      </c>
      <c r="B1491" s="4" t="s">
        <v>461</v>
      </c>
      <c r="C1491" s="8" t="s">
        <v>5</v>
      </c>
      <c r="D1491" s="11" t="s">
        <v>2244</v>
      </c>
    </row>
    <row r="1492" spans="1:4" ht="30">
      <c r="A1492" s="5" t="str">
        <f>HYPERLINK("https://www.oit.va.gov/Services/TRM/ToolPage.aspx?tid=11293^","CadLink")</f>
        <v>CadLink</v>
      </c>
      <c r="B1492" s="4" t="s">
        <v>1399</v>
      </c>
      <c r="C1492" s="8" t="s">
        <v>5</v>
      </c>
      <c r="D1492" s="11" t="s">
        <v>1400</v>
      </c>
    </row>
    <row r="1493" spans="1:4" ht="30">
      <c r="A1493" s="5" t="str">
        <f>HYPERLINK("https://www.oit.va.gov/Services/TRM/ToolPage.aspx?tid=8710^","Easy III")</f>
        <v>Easy III</v>
      </c>
      <c r="B1493" s="4" t="s">
        <v>1399</v>
      </c>
      <c r="C1493" s="8" t="s">
        <v>5</v>
      </c>
      <c r="D1493" s="11" t="s">
        <v>4058</v>
      </c>
    </row>
    <row r="1494" spans="1:4" ht="30">
      <c r="A1494" s="5" t="str">
        <f>HYPERLINK("https://www.oit.va.gov/Services/TRM/ToolPage.aspx?tid=11294^","Arc")</f>
        <v>Arc</v>
      </c>
      <c r="B1494" s="4" t="s">
        <v>1399</v>
      </c>
      <c r="C1494" s="8" t="s">
        <v>5</v>
      </c>
      <c r="D1494" s="11" t="s">
        <v>5649</v>
      </c>
    </row>
    <row r="1495" spans="1:4" ht="30">
      <c r="A1495" s="5" t="str">
        <f>HYPERLINK("https://www.oit.va.gov/Services/TRM/ToolPage.aspx?tid=14199^","Cascade Surgical Studio")</f>
        <v>Cascade Surgical Studio</v>
      </c>
      <c r="B1495" s="4" t="s">
        <v>1399</v>
      </c>
      <c r="C1495" s="8" t="s">
        <v>5</v>
      </c>
      <c r="D1495" s="11" t="s">
        <v>4866</v>
      </c>
    </row>
    <row r="1496" spans="1:4" ht="30">
      <c r="A1496" s="5" t="str">
        <f>HYPERLINK("https://www.oit.va.gov/Services/TRM/ToolPage.aspx?tid=8981^","Sierra Summit")</f>
        <v>Sierra Summit</v>
      </c>
      <c r="B1496" s="4" t="s">
        <v>1399</v>
      </c>
      <c r="C1496" s="8" t="s">
        <v>5</v>
      </c>
      <c r="D1496" s="11" t="s">
        <v>6068</v>
      </c>
    </row>
    <row r="1497" spans="1:4" ht="30">
      <c r="A1497" s="5" t="str">
        <f>HYPERLINK("https://www.oit.va.gov/Services/TRM/ToolPage.aspx?tid=13817^","Electroencephalogram (EEG) Anywhere")</f>
        <v>Electroencephalogram (EEG) Anywhere</v>
      </c>
      <c r="B1497" s="4" t="s">
        <v>1399</v>
      </c>
      <c r="C1497" s="8" t="s">
        <v>5</v>
      </c>
      <c r="D1497" s="11" t="s">
        <v>7842</v>
      </c>
    </row>
    <row r="1498" spans="1:4" ht="30">
      <c r="A1498" s="5" t="str">
        <f>HYPERLINK("https://www.oit.va.gov/Services/TRM/ToolPage.aspx?tid=8070^","LearningSpace")</f>
        <v>LearningSpace</v>
      </c>
      <c r="B1498" s="4" t="s">
        <v>6783</v>
      </c>
      <c r="C1498" s="8" t="s">
        <v>5</v>
      </c>
      <c r="D1498" s="11" t="s">
        <v>1108</v>
      </c>
    </row>
    <row r="1499" spans="1:4" ht="30">
      <c r="A1499" s="5" t="str">
        <f>HYPERLINK("https://www.oit.va.gov/Services/TRM/ToolPage.aspx?tid=13427^","Nelson Email Organizer (NEO) Pro")</f>
        <v>Nelson Email Organizer (NEO) Pro</v>
      </c>
      <c r="B1499" s="4" t="s">
        <v>8313</v>
      </c>
      <c r="C1499" s="8" t="s">
        <v>5</v>
      </c>
      <c r="D1499" s="11" t="s">
        <v>7407</v>
      </c>
    </row>
    <row r="1500" spans="1:4" ht="30">
      <c r="A1500" s="5" t="str">
        <f>HYPERLINK("https://www.oit.va.gov/Services/TRM/ToolPage.aspx?tid=12980^","Cairo")</f>
        <v>Cairo</v>
      </c>
      <c r="B1500" s="4" t="s">
        <v>3191</v>
      </c>
      <c r="C1500" s="8" t="s">
        <v>5</v>
      </c>
      <c r="D1500" s="11" t="s">
        <v>292</v>
      </c>
    </row>
    <row r="1501" spans="1:4" ht="30">
      <c r="A1501" s="5" t="str">
        <f>HYPERLINK("https://www.oit.va.gov/Services/TRM/ToolPage.aspx?tid=14023^","CakePHP")</f>
        <v>CakePHP</v>
      </c>
      <c r="B1501" s="4" t="s">
        <v>3870</v>
      </c>
      <c r="C1501" s="8" t="s">
        <v>5</v>
      </c>
      <c r="D1501" s="11" t="s">
        <v>3871</v>
      </c>
    </row>
    <row r="1502" spans="1:4" ht="30">
      <c r="A1502" s="5" t="str">
        <f>HYPERLINK("https://www.oit.va.gov/Services/TRM/ToolPage.aspx?tid=13896^","Sound Center")</f>
        <v>Sound Center</v>
      </c>
      <c r="B1502" s="4" t="s">
        <v>8697</v>
      </c>
      <c r="C1502" s="8" t="s">
        <v>5</v>
      </c>
      <c r="D1502" s="11" t="s">
        <v>8335</v>
      </c>
    </row>
    <row r="1503" spans="1:4" ht="30">
      <c r="A1503" s="5" t="str">
        <f>HYPERLINK("https://www.oit.va.gov/Services/TRM/ToolPage.aspx?tid=7903^","Calabrio One")</f>
        <v>Calabrio One</v>
      </c>
      <c r="B1503" s="4" t="s">
        <v>182</v>
      </c>
      <c r="C1503" s="8" t="s">
        <v>5</v>
      </c>
      <c r="D1503" s="11" t="s">
        <v>183</v>
      </c>
    </row>
    <row r="1504" spans="1:4" ht="30">
      <c r="A1504" s="5" t="str">
        <f>HYPERLINK("https://www.oit.va.gov/Services/TRM/ToolPage.aspx?tid=10436^","Calabrio Workforce Management Software (WFM)")</f>
        <v>Calabrio Workforce Management Software (WFM)</v>
      </c>
      <c r="B1504" s="4" t="s">
        <v>182</v>
      </c>
      <c r="C1504" s="8" t="s">
        <v>5</v>
      </c>
      <c r="D1504" s="11" t="s">
        <v>2230</v>
      </c>
    </row>
    <row r="1505" spans="1:4" ht="30">
      <c r="A1505" s="5" t="str">
        <f>HYPERLINK("https://www.oit.va.gov/Services/TRM/ToolPage.aspx?tid=15233^","Calendly for Outlook")</f>
        <v>Calendly for Outlook</v>
      </c>
      <c r="B1505" s="4" t="s">
        <v>7600</v>
      </c>
      <c r="C1505" s="8" t="s">
        <v>5</v>
      </c>
      <c r="D1505" s="11" t="s">
        <v>7601</v>
      </c>
    </row>
    <row r="1506" spans="1:4" ht="30">
      <c r="A1506" s="5" t="str">
        <f>HYPERLINK("https://www.oit.va.gov/Services/TRM/ToolPage.aspx?tid=15204^","Caliber Mobile")</f>
        <v>Caliber Mobile</v>
      </c>
      <c r="B1506" s="4" t="s">
        <v>2434</v>
      </c>
      <c r="C1506" s="8" t="s">
        <v>5</v>
      </c>
      <c r="D1506" s="11" t="s">
        <v>2435</v>
      </c>
    </row>
    <row r="1507" spans="1:4" ht="30">
      <c r="A1507" s="5" t="str">
        <f>HYPERLINK("https://www.oit.va.gov/Services/TRM/ToolPage.aspx?tid=10521^","Calibre")</f>
        <v>Calibre</v>
      </c>
      <c r="B1507" s="4" t="s">
        <v>5085</v>
      </c>
      <c r="C1507" s="8" t="s">
        <v>5</v>
      </c>
      <c r="D1507" s="11" t="s">
        <v>3175</v>
      </c>
    </row>
    <row r="1508" spans="1:4" ht="30">
      <c r="A1508" s="5" t="str">
        <f>HYPERLINK("https://www.oit.va.gov/Services/TRM/ToolPage.aspx?tid=10682^","Maptitude")</f>
        <v>Maptitude</v>
      </c>
      <c r="B1508" s="4" t="s">
        <v>1710</v>
      </c>
      <c r="C1508" s="8" t="s">
        <v>5</v>
      </c>
      <c r="D1508" s="11" t="s">
        <v>1711</v>
      </c>
    </row>
    <row r="1509" spans="1:4" ht="30">
      <c r="A1509" s="5" t="str">
        <f>HYPERLINK("https://www.oit.va.gov/Services/TRM/ToolPage.aspx?tid=8232^","Electronic Data Capture (EDC)")</f>
        <v>Electronic Data Capture (EDC)</v>
      </c>
      <c r="B1509" s="4" t="s">
        <v>2539</v>
      </c>
      <c r="C1509" s="8" t="s">
        <v>5</v>
      </c>
      <c r="D1509" s="11" t="s">
        <v>169</v>
      </c>
    </row>
    <row r="1510" spans="1:4" ht="30">
      <c r="A1510" s="5" t="str">
        <f>HYPERLINK("https://www.oit.va.gov/Services/TRM/ToolPage.aspx?tid=6924^","Signal")</f>
        <v>Signal</v>
      </c>
      <c r="B1510" s="4" t="s">
        <v>2951</v>
      </c>
      <c r="C1510" s="8" t="s">
        <v>5</v>
      </c>
      <c r="D1510" s="11" t="s">
        <v>995</v>
      </c>
    </row>
    <row r="1511" spans="1:4" ht="30">
      <c r="A1511" s="5" t="str">
        <f>HYPERLINK("https://www.oit.va.gov/Services/TRM/ToolPage.aspx?tid=13696^","Spike2")</f>
        <v>Spike2</v>
      </c>
      <c r="B1511" s="4" t="s">
        <v>2951</v>
      </c>
      <c r="C1511" s="8" t="s">
        <v>5</v>
      </c>
      <c r="D1511" s="11" t="s">
        <v>7166</v>
      </c>
    </row>
    <row r="1512" spans="1:4" ht="30">
      <c r="A1512" s="5" t="str">
        <f>HYPERLINK("https://www.oit.va.gov/Services/TRM/ToolPage.aspx?tid=8795^","MotionWare Software")</f>
        <v>MotionWare Software</v>
      </c>
      <c r="B1512" s="4" t="s">
        <v>4458</v>
      </c>
      <c r="C1512" s="8" t="s">
        <v>5</v>
      </c>
      <c r="D1512" s="11" t="s">
        <v>1421</v>
      </c>
    </row>
    <row r="1513" spans="1:4" ht="30">
      <c r="A1513" s="5" t="str">
        <f>HYPERLINK("https://www.oit.va.gov/Services/TRM/ToolPage.aspx?tid=14288^","Actiheart 5 Software")</f>
        <v>Actiheart 5 Software</v>
      </c>
      <c r="B1513" s="4" t="s">
        <v>4458</v>
      </c>
      <c r="C1513" s="8" t="s">
        <v>5</v>
      </c>
      <c r="D1513" s="11" t="s">
        <v>5611</v>
      </c>
    </row>
    <row r="1514" spans="1:4" ht="30">
      <c r="A1514" s="5" t="str">
        <f>HYPERLINK("https://www.oit.va.gov/Services/TRM/ToolPage.aspx?tid=9719^","Actiwave Setup Software")</f>
        <v>Actiwave Setup Software</v>
      </c>
      <c r="B1514" s="4" t="s">
        <v>4458</v>
      </c>
      <c r="C1514" s="8" t="s">
        <v>5</v>
      </c>
      <c r="D1514" s="11" t="s">
        <v>7395</v>
      </c>
    </row>
    <row r="1515" spans="1:4" ht="30">
      <c r="A1515" s="5" t="str">
        <f>HYPERLINK("https://www.oit.va.gov/Services/TRM/ToolPage.aspx?tid=13411^","SourceMonitor")</f>
        <v>SourceMonitor</v>
      </c>
      <c r="B1515" s="4" t="s">
        <v>8700</v>
      </c>
      <c r="C1515" s="8" t="s">
        <v>5</v>
      </c>
      <c r="D1515" s="11" t="s">
        <v>8701</v>
      </c>
    </row>
    <row r="1516" spans="1:4" ht="30">
      <c r="A1516" s="5" t="str">
        <f>HYPERLINK("https://www.oit.va.gov/Services/TRM/ToolPage.aspx?tid=6934^","CamStudio Portable")</f>
        <v>CamStudio Portable</v>
      </c>
      <c r="B1516" s="4" t="s">
        <v>5693</v>
      </c>
      <c r="C1516" s="8" t="s">
        <v>5</v>
      </c>
      <c r="D1516" s="11" t="s">
        <v>4051</v>
      </c>
    </row>
    <row r="1517" spans="1:4" ht="30">
      <c r="A1517" s="5" t="str">
        <f>HYPERLINK("https://www.oit.va.gov/Services/TRM/ToolPage.aspx?tid=6894^","CamStudio")</f>
        <v>CamStudio</v>
      </c>
      <c r="B1517" s="4" t="s">
        <v>5693</v>
      </c>
      <c r="C1517" s="8" t="s">
        <v>5</v>
      </c>
      <c r="D1517" s="11" t="s">
        <v>7485</v>
      </c>
    </row>
    <row r="1518" spans="1:4" ht="30">
      <c r="A1518" s="5" t="str">
        <f>HYPERLINK("https://www.oit.va.gov/Services/TRM/ToolPage.aspx?tid=14813^","Camunda Modeler")</f>
        <v>Camunda Modeler</v>
      </c>
      <c r="B1518" s="4" t="s">
        <v>2438</v>
      </c>
      <c r="C1518" s="8" t="s">
        <v>5</v>
      </c>
      <c r="D1518" s="11" t="s">
        <v>2439</v>
      </c>
    </row>
    <row r="1519" spans="1:4" ht="30">
      <c r="A1519" s="5" t="str">
        <f>HYPERLINK("https://www.oit.va.gov/Services/TRM/ToolPage.aspx?tid=15225^","Camunda Business Process Management (BPM) Platform")</f>
        <v>Camunda Business Process Management (BPM) Platform</v>
      </c>
      <c r="B1519" s="4" t="s">
        <v>2438</v>
      </c>
      <c r="C1519" s="8" t="s">
        <v>5</v>
      </c>
      <c r="D1519" s="11" t="s">
        <v>1679</v>
      </c>
    </row>
    <row r="1520" spans="1:4" ht="30">
      <c r="A1520" s="5" t="str">
        <f>HYPERLINK("https://www.oit.va.gov/Services/TRM/ToolPage.aspx?tid=10489^","Compact Disc (CD) BurnerXP")</f>
        <v>Compact Disc (CD) BurnerXP</v>
      </c>
      <c r="B1520" s="4" t="s">
        <v>5112</v>
      </c>
      <c r="C1520" s="8" t="s">
        <v>5</v>
      </c>
      <c r="D1520" s="11" t="s">
        <v>5113</v>
      </c>
    </row>
    <row r="1521" spans="1:4" ht="30">
      <c r="A1521" s="5" t="str">
        <f>HYPERLINK("https://www.oit.va.gov/Services/TRM/ToolPage.aspx?tid=11471^","uniFLOW")</f>
        <v>uniFLOW</v>
      </c>
      <c r="B1521" s="4" t="s">
        <v>2014</v>
      </c>
      <c r="C1521" s="8" t="s">
        <v>5</v>
      </c>
      <c r="D1521" s="11" t="s">
        <v>2015</v>
      </c>
    </row>
    <row r="1522" spans="1:4" ht="30">
      <c r="A1522" s="5" t="str">
        <f>HYPERLINK("https://www.oit.va.gov/Services/TRM/ToolPage.aspx?tid=6684^","CameraWindow")</f>
        <v>CameraWindow</v>
      </c>
      <c r="B1522" s="4" t="s">
        <v>2014</v>
      </c>
      <c r="C1522" s="8" t="s">
        <v>5</v>
      </c>
      <c r="D1522" s="11" t="s">
        <v>1367</v>
      </c>
    </row>
    <row r="1523" spans="1:4" ht="30">
      <c r="A1523" s="5" t="str">
        <f>HYPERLINK("https://www.oit.va.gov/Services/TRM/ToolPage.aspx?tid=11591^","Electro-Optical System (EOS) Utility")</f>
        <v>Electro-Optical System (EOS) Utility</v>
      </c>
      <c r="B1523" s="4" t="s">
        <v>2014</v>
      </c>
      <c r="C1523" s="8" t="s">
        <v>5</v>
      </c>
      <c r="D1523" s="11" t="s">
        <v>2542</v>
      </c>
    </row>
    <row r="1524" spans="1:4" ht="30">
      <c r="A1524" s="5" t="str">
        <f>HYPERLINK("https://www.oit.va.gov/Services/TRM/ToolPage.aspx?tid=10844^","My Image Garden")</f>
        <v>My Image Garden</v>
      </c>
      <c r="B1524" s="4" t="s">
        <v>2014</v>
      </c>
      <c r="C1524" s="8" t="s">
        <v>5</v>
      </c>
      <c r="D1524" s="11" t="s">
        <v>2779</v>
      </c>
    </row>
    <row r="1525" spans="1:4" ht="30">
      <c r="A1525" s="5" t="str">
        <f>HYPERLINK("https://www.oit.va.gov/Services/TRM/ToolPage.aspx?tid=14970^","Oce Publisher Select")</f>
        <v>Oce Publisher Select</v>
      </c>
      <c r="B1525" s="4" t="s">
        <v>2014</v>
      </c>
      <c r="C1525" s="8" t="s">
        <v>5</v>
      </c>
      <c r="D1525" s="11" t="s">
        <v>3425</v>
      </c>
    </row>
    <row r="1526" spans="1:4" ht="30">
      <c r="A1526" s="5" t="str">
        <f>HYPERLINK("https://www.oit.va.gov/Services/TRM/ToolPage.aspx?tid=14576^","Canon Multi Function 230 Series (MF) Driver")</f>
        <v>Canon Multi Function 230 Series (MF) Driver</v>
      </c>
      <c r="B1526" s="4" t="s">
        <v>2014</v>
      </c>
      <c r="C1526" s="8" t="s">
        <v>5</v>
      </c>
      <c r="D1526" s="11" t="s">
        <v>3872</v>
      </c>
    </row>
    <row r="1527" spans="1:4" ht="30">
      <c r="A1527" s="5" t="str">
        <f>HYPERLINK("https://www.oit.va.gov/Services/TRM/ToolPage.aspx?tid=13454^","CanoScan LiDE 120 Scanner Driver Package")</f>
        <v>CanoScan LiDE 120 Scanner Driver Package</v>
      </c>
      <c r="B1527" s="4" t="s">
        <v>2014</v>
      </c>
      <c r="C1527" s="8" t="s">
        <v>5</v>
      </c>
      <c r="D1527" s="11" t="s">
        <v>3659</v>
      </c>
    </row>
    <row r="1528" spans="1:4" ht="30">
      <c r="A1528" s="5" t="str">
        <f>HYPERLINK("https://www.oit.va.gov/Services/TRM/ToolPage.aspx?tid=15099^","imagePROGRAF Direct Print &amp; Share")</f>
        <v>imagePROGRAF Direct Print &amp; Share</v>
      </c>
      <c r="B1528" s="4" t="s">
        <v>2014</v>
      </c>
      <c r="C1528" s="8" t="s">
        <v>5</v>
      </c>
      <c r="D1528" s="11" t="s">
        <v>4251</v>
      </c>
    </row>
    <row r="1529" spans="1:4" ht="30">
      <c r="A1529" s="5" t="str">
        <f>HYPERLINK("https://www.oit.va.gov/Services/TRM/ToolPage.aspx?tid=13272^","imagePROGRAF Print Plug-In for Office")</f>
        <v>imagePROGRAF Print Plug-In for Office</v>
      </c>
      <c r="B1529" s="4" t="s">
        <v>2014</v>
      </c>
      <c r="C1529" s="8" t="s">
        <v>5</v>
      </c>
      <c r="D1529" s="11" t="s">
        <v>211</v>
      </c>
    </row>
    <row r="1530" spans="1:4" ht="30">
      <c r="A1530" s="5" t="str">
        <f>HYPERLINK("https://www.oit.va.gov/Services/TRM/ToolPage.aspx?tid=11625^","imageWARE Enterprise Management Console (EMC)")</f>
        <v>imageWARE Enterprise Management Console (EMC)</v>
      </c>
      <c r="B1530" s="4" t="s">
        <v>2014</v>
      </c>
      <c r="C1530" s="8" t="s">
        <v>5</v>
      </c>
      <c r="D1530" s="11" t="s">
        <v>4252</v>
      </c>
    </row>
    <row r="1531" spans="1:4" ht="30">
      <c r="A1531" s="5" t="str">
        <f>HYPERLINK("https://www.oit.va.gov/Services/TRM/ToolPage.aspx?tid=10365^","Canon Digital Camera Software")</f>
        <v>Canon Digital Camera Software</v>
      </c>
      <c r="B1531" s="4" t="s">
        <v>2014</v>
      </c>
      <c r="C1531" s="8" t="s">
        <v>5</v>
      </c>
      <c r="D1531" s="11" t="s">
        <v>2407</v>
      </c>
    </row>
    <row r="1532" spans="1:4" ht="30">
      <c r="A1532" s="5" t="str">
        <f>HYPERLINK("https://www.oit.va.gov/Services/TRM/ToolPage.aspx?tid=10487^","Digital Photo Professional")</f>
        <v>Digital Photo Professional</v>
      </c>
      <c r="B1532" s="4" t="s">
        <v>2014</v>
      </c>
      <c r="C1532" s="8" t="s">
        <v>5</v>
      </c>
      <c r="D1532" s="11" t="s">
        <v>489</v>
      </c>
    </row>
    <row r="1533" spans="1:4" ht="30">
      <c r="A1533" s="5" t="str">
        <f>HYPERLINK("https://www.oit.va.gov/Services/TRM/ToolPage.aspx?tid=13271^","imagePROGRAF Media Configuration Tool")</f>
        <v>imagePROGRAF Media Configuration Tool</v>
      </c>
      <c r="B1533" s="4" t="s">
        <v>2014</v>
      </c>
      <c r="C1533" s="8" t="s">
        <v>5</v>
      </c>
      <c r="D1533" s="11" t="s">
        <v>3677</v>
      </c>
    </row>
    <row r="1534" spans="1:4" ht="30">
      <c r="A1534" s="5" t="str">
        <f>HYPERLINK("https://www.oit.va.gov/Services/TRM/ToolPage.aspx?tid=10549^","MP Navigator Ex")</f>
        <v>MP Navigator Ex</v>
      </c>
      <c r="B1534" s="4" t="s">
        <v>2014</v>
      </c>
      <c r="C1534" s="8" t="s">
        <v>5</v>
      </c>
      <c r="D1534" s="11" t="s">
        <v>5368</v>
      </c>
    </row>
    <row r="1535" spans="1:4" ht="30">
      <c r="A1535" s="5" t="str">
        <f>HYPERLINK("https://www.oit.va.gov/Services/TRM/ToolPage.aspx?tid=13489^","Repro Desk Client Tools")</f>
        <v>Repro Desk Client Tools</v>
      </c>
      <c r="B1535" s="4" t="s">
        <v>2014</v>
      </c>
      <c r="C1535" s="8" t="s">
        <v>5</v>
      </c>
      <c r="D1535" s="11" t="s">
        <v>5478</v>
      </c>
    </row>
    <row r="1536" spans="1:4" ht="30">
      <c r="A1536" s="5" t="str">
        <f>HYPERLINK("https://www.oit.va.gov/Services/TRM/ToolPage.aspx?tid=13410^","Canon IJ Scan Utility")</f>
        <v>Canon IJ Scan Utility</v>
      </c>
      <c r="B1536" s="4" t="s">
        <v>2014</v>
      </c>
      <c r="C1536" s="8" t="s">
        <v>5</v>
      </c>
      <c r="D1536" s="11" t="s">
        <v>4716</v>
      </c>
    </row>
    <row r="1537" spans="1:4" ht="30">
      <c r="A1537" s="5" t="str">
        <f>HYPERLINK("https://www.oit.va.gov/Services/TRM/ToolPage.aspx?tid=9125^","CapturePerfect")</f>
        <v>CapturePerfect</v>
      </c>
      <c r="B1537" s="4" t="s">
        <v>2014</v>
      </c>
      <c r="C1537" s="8" t="s">
        <v>5</v>
      </c>
      <c r="D1537" s="11" t="s">
        <v>5694</v>
      </c>
    </row>
    <row r="1538" spans="1:4" ht="30">
      <c r="A1538" s="5" t="str">
        <f>HYPERLINK("https://www.oit.va.gov/Services/TRM/ToolPage.aspx?tid=14511^","Canon CaptureOnTouch")</f>
        <v>Canon CaptureOnTouch</v>
      </c>
      <c r="B1538" s="4" t="s">
        <v>2014</v>
      </c>
      <c r="C1538" s="8" t="s">
        <v>5</v>
      </c>
      <c r="D1538" s="11" t="s">
        <v>3059</v>
      </c>
    </row>
    <row r="1539" spans="1:4" ht="30">
      <c r="A1539" s="5" t="str">
        <f>HYPERLINK("https://www.oit.va.gov/Services/TRM/ToolPage.aspx?tid=14518^","Canon Remote Operator Viewer (ROV)")</f>
        <v>Canon Remote Operator Viewer (ROV)</v>
      </c>
      <c r="B1539" s="4" t="s">
        <v>2014</v>
      </c>
      <c r="C1539" s="8" t="s">
        <v>5</v>
      </c>
      <c r="D1539" s="11" t="s">
        <v>3747</v>
      </c>
    </row>
    <row r="1540" spans="1:4" ht="30">
      <c r="A1540" s="5" t="str">
        <f>HYPERLINK("https://www.oit.va.gov/Services/TRM/ToolPage.aspx?tid=16247^","Canon XF Utility Software")</f>
        <v>Canon XF Utility Software</v>
      </c>
      <c r="B1540" s="4" t="s">
        <v>2014</v>
      </c>
      <c r="C1540" s="8" t="s">
        <v>5</v>
      </c>
      <c r="D1540" s="11" t="s">
        <v>6379</v>
      </c>
    </row>
    <row r="1541" spans="1:4" ht="30">
      <c r="A1541" s="5" t="str">
        <f>HYPERLINK("https://www.oit.va.gov/Services/TRM/ToolPage.aspx?tid=13884^","imagePROGRAF Status Monitor")</f>
        <v>imagePROGRAF Status Monitor</v>
      </c>
      <c r="B1541" s="4" t="s">
        <v>2014</v>
      </c>
      <c r="C1541" s="8" t="s">
        <v>5</v>
      </c>
      <c r="D1541" s="11" t="s">
        <v>4369</v>
      </c>
    </row>
    <row r="1542" spans="1:4" ht="30">
      <c r="A1542" s="5" t="str">
        <f>HYPERLINK("https://www.oit.va.gov/Services/TRM/ToolPage.aspx?tid=12820^","PRISMAprepare")</f>
        <v>PRISMAprepare</v>
      </c>
      <c r="B1542" s="4" t="s">
        <v>2014</v>
      </c>
      <c r="C1542" s="8" t="s">
        <v>5</v>
      </c>
      <c r="D1542" s="11" t="s">
        <v>7027</v>
      </c>
    </row>
    <row r="1543" spans="1:4" ht="30">
      <c r="A1543" s="5" t="str">
        <f>HYPERLINK("https://www.oit.va.gov/Services/TRM/ToolPage.aspx?tid=14560^","Canon ImageSpectrum Capture Plus")</f>
        <v>Canon ImageSpectrum Capture Plus</v>
      </c>
      <c r="B1543" s="4" t="s">
        <v>2014</v>
      </c>
      <c r="C1543" s="8" t="s">
        <v>5</v>
      </c>
      <c r="D1543" s="11" t="s">
        <v>3200</v>
      </c>
    </row>
    <row r="1544" spans="1:4" ht="30">
      <c r="A1544" s="5" t="str">
        <f>HYPERLINK("https://www.oit.va.gov/Services/TRM/ToolPage.aspx?tid=8144^","Canon Multi-Function (MF) Toolbox")</f>
        <v>Canon Multi-Function (MF) Toolbox</v>
      </c>
      <c r="B1544" s="4" t="s">
        <v>2014</v>
      </c>
      <c r="C1544" s="8" t="s">
        <v>5</v>
      </c>
      <c r="D1544" s="11" t="s">
        <v>1301</v>
      </c>
    </row>
    <row r="1545" spans="1:4" ht="30">
      <c r="A1545" s="5" t="str">
        <f>HYPERLINK("https://www.oit.va.gov/Services/TRM/ToolPage.aspx?tid=5889^","Canon PhotoRecord")</f>
        <v>Canon PhotoRecord</v>
      </c>
      <c r="B1545" s="4" t="s">
        <v>2014</v>
      </c>
      <c r="C1545" s="8" t="s">
        <v>5</v>
      </c>
      <c r="D1545" s="11" t="s">
        <v>5099</v>
      </c>
    </row>
    <row r="1546" spans="1:4" ht="30">
      <c r="A1546" s="5" t="str">
        <f>HYPERLINK("https://www.oit.va.gov/Services/TRM/ToolPage.aspx?tid=11085^","Canon Picture Style Editor")</f>
        <v>Canon Picture Style Editor</v>
      </c>
      <c r="B1546" s="4" t="s">
        <v>2014</v>
      </c>
      <c r="C1546" s="8" t="s">
        <v>5</v>
      </c>
      <c r="D1546" s="11" t="s">
        <v>7607</v>
      </c>
    </row>
    <row r="1547" spans="1:4" ht="30">
      <c r="A1547" s="5" t="str">
        <f>HYPERLINK("https://www.oit.va.gov/Services/TRM/ToolPage.aspx?tid=10457^","Canon Utilities MyCamera")</f>
        <v>Canon Utilities MyCamera</v>
      </c>
      <c r="B1547" s="4" t="s">
        <v>2014</v>
      </c>
      <c r="C1547" s="8" t="s">
        <v>5</v>
      </c>
      <c r="D1547" s="11" t="s">
        <v>7608</v>
      </c>
    </row>
    <row r="1548" spans="1:4" ht="30">
      <c r="A1548" s="5" t="str">
        <f>HYPERLINK("https://www.oit.va.gov/Services/TRM/ToolPage.aspx?tid=13709^","CanoScan Toolbox")</f>
        <v>CanoScan Toolbox</v>
      </c>
      <c r="B1548" s="4" t="s">
        <v>2014</v>
      </c>
      <c r="C1548" s="8" t="s">
        <v>5</v>
      </c>
      <c r="D1548" s="11" t="s">
        <v>7609</v>
      </c>
    </row>
    <row r="1549" spans="1:4" ht="30">
      <c r="A1549" s="5" t="str">
        <f>HYPERLINK("https://www.oit.va.gov/Services/TRM/ToolPage.aspx?tid=11143^","Easy-PhotoPrint EX")</f>
        <v>Easy-PhotoPrint EX</v>
      </c>
      <c r="B1549" s="4" t="s">
        <v>2014</v>
      </c>
      <c r="C1549" s="8" t="s">
        <v>5</v>
      </c>
      <c r="D1549" s="11" t="s">
        <v>6405</v>
      </c>
    </row>
    <row r="1550" spans="1:4" ht="30">
      <c r="A1550" s="5" t="str">
        <f>HYPERLINK("https://www.oit.va.gov/Services/TRM/ToolPage.aspx?tid=11107^","IJ Network Tool")</f>
        <v>IJ Network Tool</v>
      </c>
      <c r="B1550" s="4" t="s">
        <v>2014</v>
      </c>
      <c r="C1550" s="8" t="s">
        <v>5</v>
      </c>
      <c r="D1550" s="11" t="s">
        <v>8055</v>
      </c>
    </row>
    <row r="1551" spans="1:4" ht="30">
      <c r="A1551" s="5" t="str">
        <f>HYPERLINK("https://www.oit.va.gov/Services/TRM/ToolPage.aspx?tid=6751^","ImageBrowser EX")</f>
        <v>ImageBrowser EX</v>
      </c>
      <c r="B1551" s="4" t="s">
        <v>2014</v>
      </c>
      <c r="C1551" s="8" t="s">
        <v>5</v>
      </c>
      <c r="D1551" s="11" t="s">
        <v>8063</v>
      </c>
    </row>
    <row r="1552" spans="1:4" ht="30">
      <c r="A1552" s="5" t="str">
        <f>HYPERLINK("https://www.oit.va.gov/Services/TRM/ToolPage.aspx?tid=13445^","iR Toolbox")</f>
        <v>iR Toolbox</v>
      </c>
      <c r="B1552" s="4" t="s">
        <v>2014</v>
      </c>
      <c r="C1552" s="8" t="s">
        <v>5</v>
      </c>
      <c r="D1552" s="11" t="s">
        <v>5084</v>
      </c>
    </row>
    <row r="1553" spans="1:4" ht="30">
      <c r="A1553" s="5" t="str">
        <f>HYPERLINK("https://www.oit.va.gov/Services/TRM/ToolPage.aspx?tid=13388^","PosterArtist")</f>
        <v>PosterArtist</v>
      </c>
      <c r="B1553" s="4" t="s">
        <v>2014</v>
      </c>
      <c r="C1553" s="8" t="s">
        <v>5</v>
      </c>
      <c r="D1553" s="11" t="s">
        <v>8461</v>
      </c>
    </row>
    <row r="1554" spans="1:4" ht="30">
      <c r="A1554" s="5" t="str">
        <f>HYPERLINK("https://www.oit.va.gov/Services/TRM/ToolPage.aspx?tid=13463^","Utilities RAW Image Converter")</f>
        <v>Utilities RAW Image Converter</v>
      </c>
      <c r="B1554" s="4" t="s">
        <v>2014</v>
      </c>
      <c r="C1554" s="8" t="s">
        <v>5</v>
      </c>
      <c r="D1554" s="11" t="s">
        <v>8853</v>
      </c>
    </row>
    <row r="1555" spans="1:4" ht="30">
      <c r="A1555" s="5" t="str">
        <f>HYPERLINK("https://www.oit.va.gov/Services/TRM/ToolPage.aspx?tid=15892^","Connecto")</f>
        <v>Connecto</v>
      </c>
      <c r="B1555" s="4" t="s">
        <v>3962</v>
      </c>
      <c r="C1555" s="8" t="s">
        <v>5</v>
      </c>
      <c r="D1555" s="11" t="s">
        <v>3963</v>
      </c>
    </row>
    <row r="1556" spans="1:4" ht="30">
      <c r="A1556" s="5" t="str">
        <f>HYPERLINK("https://www.oit.va.gov/Services/TRM/ToolPage.aspx?tid=16292^","Canva for Desktop")</f>
        <v>Canva for Desktop</v>
      </c>
      <c r="B1556" s="4" t="s">
        <v>1401</v>
      </c>
      <c r="C1556" s="8" t="s">
        <v>5</v>
      </c>
      <c r="D1556" s="11" t="s">
        <v>1402</v>
      </c>
    </row>
    <row r="1557" spans="1:4" ht="30">
      <c r="A1557" s="5" t="str">
        <f>HYPERLINK("https://www.oit.va.gov/Services/TRM/ToolPage.aspx?tid=6580^","Canvas X for Windows")</f>
        <v>Canvas X for Windows</v>
      </c>
      <c r="B1557" s="4" t="s">
        <v>3875</v>
      </c>
      <c r="C1557" s="8" t="s">
        <v>5</v>
      </c>
      <c r="D1557" s="11" t="s">
        <v>3876</v>
      </c>
    </row>
    <row r="1558" spans="1:4" ht="30">
      <c r="A1558" s="5" t="str">
        <f>HYPERLINK("https://www.oit.va.gov/Services/TRM/ToolPage.aspx?tid=13551^","Advanced Installer")</f>
        <v>Advanced Installer</v>
      </c>
      <c r="B1558" s="4" t="s">
        <v>7419</v>
      </c>
      <c r="C1558" s="8" t="s">
        <v>5</v>
      </c>
      <c r="D1558" s="11" t="s">
        <v>6230</v>
      </c>
    </row>
    <row r="1559" spans="1:4" ht="30">
      <c r="A1559" s="5" t="str">
        <f>HYPERLINK("https://www.oit.va.gov/Services/TRM/ToolPage.aspx?tid=8165^","Behavioral Health Laboratory (BHL)")</f>
        <v>Behavioral Health Laboratory (BHL)</v>
      </c>
      <c r="B1559" s="4" t="s">
        <v>5679</v>
      </c>
      <c r="C1559" s="8" t="s">
        <v>5</v>
      </c>
      <c r="D1559" s="11" t="s">
        <v>5680</v>
      </c>
    </row>
    <row r="1560" spans="1:4" ht="30">
      <c r="A1560" s="5" t="str">
        <f>HYPERLINK("https://www.oit.va.gov/Services/TRM/ToolPage.aspx?tid=14553^","Hygieia")</f>
        <v>Hygieia</v>
      </c>
      <c r="B1560" s="4" t="s">
        <v>6697</v>
      </c>
      <c r="C1560" s="8" t="s">
        <v>5</v>
      </c>
      <c r="D1560" s="11" t="s">
        <v>637</v>
      </c>
    </row>
    <row r="1561" spans="1:4" ht="30">
      <c r="A1561" s="5" t="str">
        <f>HYPERLINK("https://www.oit.va.gov/Services/TRM/ToolPage.aspx?tid=15306^","Standard Host Software")</f>
        <v>Standard Host Software</v>
      </c>
      <c r="B1561" s="4" t="s">
        <v>8723</v>
      </c>
      <c r="C1561" s="8" t="s">
        <v>5</v>
      </c>
      <c r="D1561" s="11" t="s">
        <v>2039</v>
      </c>
    </row>
    <row r="1562" spans="1:4" ht="30">
      <c r="A1562" s="5" t="str">
        <f>HYPERLINK("https://www.oit.va.gov/Services/TRM/ToolPage.aspx?tid=8691^","CartWatch Remote Management System (RMS)")</f>
        <v>CartWatch Remote Management System (RMS)</v>
      </c>
      <c r="B1562" s="4" t="s">
        <v>7619</v>
      </c>
      <c r="C1562" s="8" t="s">
        <v>5</v>
      </c>
      <c r="D1562" s="11" t="s">
        <v>7429</v>
      </c>
    </row>
    <row r="1563" spans="1:4" ht="30">
      <c r="A1563" s="5" t="str">
        <f>HYPERLINK("https://www.oit.va.gov/Services/TRM/ToolPage.aspx?tid=14642^","CapsoView")</f>
        <v>CapsoView</v>
      </c>
      <c r="B1563" s="4" t="s">
        <v>6380</v>
      </c>
      <c r="C1563" s="8" t="s">
        <v>5</v>
      </c>
      <c r="D1563" s="11" t="s">
        <v>3755</v>
      </c>
    </row>
    <row r="1564" spans="1:4" ht="30">
      <c r="A1564" s="5" t="str">
        <f>HYPERLINK("https://www.oit.va.gov/Services/TRM/ToolPage.aspx?tid=15931^","CopyStorm")</f>
        <v>CopyStorm</v>
      </c>
      <c r="B1564" s="4" t="s">
        <v>3975</v>
      </c>
      <c r="C1564" s="8" t="s">
        <v>5</v>
      </c>
      <c r="D1564" s="11" t="s">
        <v>69</v>
      </c>
    </row>
    <row r="1565" spans="1:4" ht="30">
      <c r="A1565" s="5" t="str">
        <f>HYPERLINK("https://www.oit.va.gov/Services/TRM/ToolPage.aspx?tid=15682^","CaptureTech Web Manager")</f>
        <v>CaptureTech Web Manager</v>
      </c>
      <c r="B1565" s="4" t="s">
        <v>3877</v>
      </c>
      <c r="C1565" s="8" t="s">
        <v>5</v>
      </c>
      <c r="D1565" s="11" t="s">
        <v>3878</v>
      </c>
    </row>
    <row r="1566" spans="1:4" ht="30">
      <c r="A1566" s="5" t="str">
        <f>HYPERLINK("https://www.oit.va.gov/Services/TRM/ToolPage.aspx?tid=5592^","Carbonite")</f>
        <v>Carbonite</v>
      </c>
      <c r="B1566" s="4" t="s">
        <v>6381</v>
      </c>
      <c r="C1566" s="8" t="s">
        <v>5</v>
      </c>
      <c r="D1566" s="11" t="s">
        <v>6382</v>
      </c>
    </row>
    <row r="1567" spans="1:4" ht="30">
      <c r="A1567" s="5" t="str">
        <f>HYPERLINK("https://www.oit.va.gov/Services/TRM/ToolPage.aspx?tid=7396^","Carbonite Availability")</f>
        <v>Carbonite Availability</v>
      </c>
      <c r="B1567" s="4" t="s">
        <v>6381</v>
      </c>
      <c r="C1567" s="8" t="s">
        <v>5</v>
      </c>
      <c r="D1567" s="11" t="s">
        <v>1334</v>
      </c>
    </row>
    <row r="1568" spans="1:4" ht="30">
      <c r="A1568" s="5" t="str">
        <f>HYPERLINK("https://www.oit.va.gov/Services/TRM/ToolPage.aspx?tid=14815^","CardExchange Producer")</f>
        <v>CardExchange Producer</v>
      </c>
      <c r="B1568" s="4" t="s">
        <v>3881</v>
      </c>
      <c r="C1568" s="8" t="s">
        <v>5</v>
      </c>
      <c r="D1568" s="11" t="s">
        <v>3882</v>
      </c>
    </row>
    <row r="1569" spans="1:4" ht="30">
      <c r="A1569" s="5" t="str">
        <f>HYPERLINK("https://www.oit.va.gov/Services/TRM/ToolPage.aspx?tid=14868^","Cardea SOLO")</f>
        <v>Cardea SOLO</v>
      </c>
      <c r="B1569" s="4" t="s">
        <v>3879</v>
      </c>
      <c r="C1569" s="8" t="s">
        <v>5</v>
      </c>
      <c r="D1569" s="11" t="s">
        <v>3880</v>
      </c>
    </row>
    <row r="1570" spans="1:4" ht="30">
      <c r="A1570" s="5" t="str">
        <f>HYPERLINK("https://www.oit.va.gov/Services/TRM/ToolPage.aspx?tid=15588^","CardImaging Software")</f>
        <v>CardImaging Software</v>
      </c>
      <c r="B1570" s="4" t="s">
        <v>3883</v>
      </c>
      <c r="C1570" s="8" t="s">
        <v>5</v>
      </c>
      <c r="D1570" s="11" t="s">
        <v>3884</v>
      </c>
    </row>
    <row r="1571" spans="1:4" ht="30">
      <c r="A1571" s="5" t="str">
        <f>HYPERLINK("https://www.oit.va.gov/Services/TRM/ToolPage.aspx?tid=8017^","WaveMark Supply Management")</f>
        <v>WaveMark Supply Management</v>
      </c>
      <c r="B1571" s="4" t="s">
        <v>2050</v>
      </c>
      <c r="C1571" s="8" t="s">
        <v>5</v>
      </c>
      <c r="D1571" s="11" t="s">
        <v>2051</v>
      </c>
    </row>
    <row r="1572" spans="1:4" ht="30">
      <c r="A1572" s="5" t="str">
        <f>HYPERLINK("https://www.oit.va.gov/Services/TRM/ToolPage.aspx?tid=10296^","Syntrac Integration Tools")</f>
        <v>Syntrac Integration Tools</v>
      </c>
      <c r="B1572" s="4" t="s">
        <v>2050</v>
      </c>
      <c r="C1572" s="8" t="s">
        <v>5</v>
      </c>
      <c r="D1572" s="11" t="s">
        <v>4878</v>
      </c>
    </row>
    <row r="1573" spans="1:4" ht="30">
      <c r="A1573" s="5" t="str">
        <f>HYPERLINK("https://www.oit.va.gov/Services/TRM/ToolPage.aspx?tid=14693^","Digital Imaging and Communications in Medicine (DICOM) gateway")</f>
        <v>Digital Imaging and Communications in Medicine (DICOM) gateway</v>
      </c>
      <c r="B1573" s="4" t="s">
        <v>7767</v>
      </c>
      <c r="C1573" s="8" t="s">
        <v>5</v>
      </c>
      <c r="D1573" s="11" t="s">
        <v>4078</v>
      </c>
    </row>
    <row r="1574" spans="1:4" ht="30">
      <c r="A1574" s="5" t="str">
        <f>HYPERLINK("https://www.oit.va.gov/Services/TRM/ToolPage.aspx?tid=14060^","cardPresso")</f>
        <v>cardPresso</v>
      </c>
      <c r="B1574" s="4" t="s">
        <v>3887</v>
      </c>
      <c r="C1574" s="8" t="s">
        <v>5</v>
      </c>
      <c r="D1574" s="11" t="s">
        <v>923</v>
      </c>
    </row>
    <row r="1575" spans="1:4" ht="30">
      <c r="A1575" s="5" t="str">
        <f>HYPERLINK("https://www.oit.va.gov/Services/TRM/ToolPage.aspx?tid=15571^","CARE Digital Imaging and Communications in Medicine (DICOM) Anonymizer")</f>
        <v>CARE Digital Imaging and Communications in Medicine (DICOM) Anonymizer</v>
      </c>
      <c r="B1575" s="4" t="s">
        <v>3197</v>
      </c>
      <c r="C1575" s="8" t="s">
        <v>5</v>
      </c>
      <c r="D1575" s="11" t="s">
        <v>3198</v>
      </c>
    </row>
    <row r="1576" spans="1:4" ht="30">
      <c r="A1576" s="5" t="str">
        <f>HYPERLINK("https://www.oit.va.gov/Services/TRM/ToolPage.aspx?tid=11012^","Health Harmony")</f>
        <v>Health Harmony</v>
      </c>
      <c r="B1576" s="4" t="s">
        <v>1169</v>
      </c>
      <c r="C1576" s="8" t="s">
        <v>5</v>
      </c>
      <c r="D1576" s="11" t="s">
        <v>1170</v>
      </c>
    </row>
    <row r="1577" spans="1:4" ht="30">
      <c r="A1577" s="5" t="str">
        <f>HYPERLINK("https://www.oit.va.gov/Services/TRM/ToolPage.aspx?tid=15707^","AlloSeq Hematopoietic Cell Transplantation (HCT)")</f>
        <v>AlloSeq Hematopoietic Cell Transplantation (HCT)</v>
      </c>
      <c r="B1577" s="4" t="s">
        <v>1287</v>
      </c>
      <c r="C1577" s="8" t="s">
        <v>5</v>
      </c>
      <c r="D1577" s="11" t="s">
        <v>878</v>
      </c>
    </row>
    <row r="1578" spans="1:4" ht="30">
      <c r="A1578" s="5" t="str">
        <f>HYPERLINK("https://www.oit.va.gov/Services/TRM/ToolPage.aspx?tid=11530^","Assign Sequencing Based Typing (SBT)")</f>
        <v>Assign Sequencing Based Typing (SBT)</v>
      </c>
      <c r="B1578" s="4" t="s">
        <v>1287</v>
      </c>
      <c r="C1578" s="8" t="s">
        <v>5</v>
      </c>
      <c r="D1578" s="11" t="s">
        <v>2217</v>
      </c>
    </row>
    <row r="1579" spans="1:4" ht="30">
      <c r="A1579" s="5" t="str">
        <f>HYPERLINK("https://www.oit.va.gov/Services/TRM/ToolPage.aspx?tid=9799^","Helmberg-SCORE 5")</f>
        <v>Helmberg-SCORE 5</v>
      </c>
      <c r="B1579" s="4" t="s">
        <v>1287</v>
      </c>
      <c r="C1579" s="8" t="s">
        <v>5</v>
      </c>
      <c r="D1579" s="11" t="s">
        <v>595</v>
      </c>
    </row>
    <row r="1580" spans="1:4" ht="30">
      <c r="A1580" s="5" t="str">
        <f>HYPERLINK("https://www.oit.va.gov/Services/TRM/ToolPage.aspx?tid=16203^","iConsult")</f>
        <v>iConsult</v>
      </c>
      <c r="B1580" s="4" t="s">
        <v>5239</v>
      </c>
      <c r="C1580" s="8" t="s">
        <v>5</v>
      </c>
      <c r="D1580" s="11" t="s">
        <v>5240</v>
      </c>
    </row>
    <row r="1581" spans="1:4" ht="30">
      <c r="A1581" s="5" t="str">
        <f>HYPERLINK("https://www.oit.va.gov/Services/TRM/ToolPage.aspx?tid=15806^","Caregility Policy Server")</f>
        <v>Caregility Policy Server</v>
      </c>
      <c r="B1581" s="4" t="s">
        <v>5239</v>
      </c>
      <c r="C1581" s="8" t="s">
        <v>5</v>
      </c>
      <c r="D1581" s="11" t="s">
        <v>5695</v>
      </c>
    </row>
    <row r="1582" spans="1:4" ht="30">
      <c r="A1582" s="5" t="str">
        <f>HYPERLINK("https://www.oit.va.gov/Services/TRM/ToolPage.aspx?tid=16185^","iObserver Patient Observation Software")</f>
        <v>iObserver Patient Observation Software</v>
      </c>
      <c r="B1582" s="4" t="s">
        <v>5239</v>
      </c>
      <c r="C1582" s="8" t="s">
        <v>5</v>
      </c>
      <c r="D1582" s="11" t="s">
        <v>4453</v>
      </c>
    </row>
    <row r="1583" spans="1:4" ht="30">
      <c r="A1583" s="5" t="str">
        <f>HYPERLINK("https://www.oit.va.gov/Services/TRM/ToolPage.aspx?tid=15448^","Carestream Radiovisiography (RVG) 6200")</f>
        <v>Carestream Radiovisiography (RVG) 6200</v>
      </c>
      <c r="B1583" s="4" t="s">
        <v>6385</v>
      </c>
      <c r="C1583" s="8" t="s">
        <v>5</v>
      </c>
      <c r="D1583" s="11" t="s">
        <v>6169</v>
      </c>
    </row>
    <row r="1584" spans="1:4" ht="30">
      <c r="A1584" s="5" t="str">
        <f>HYPERLINK("https://www.oit.va.gov/Services/TRM/ToolPage.aspx?tid=11807^","CS 3D Imaging")</f>
        <v>CS 3D Imaging</v>
      </c>
      <c r="B1584" s="4" t="s">
        <v>3232</v>
      </c>
      <c r="C1584" s="8" t="s">
        <v>5</v>
      </c>
      <c r="D1584" s="11" t="s">
        <v>1453</v>
      </c>
    </row>
    <row r="1585" spans="1:4" ht="30">
      <c r="A1585" s="5" t="str">
        <f>HYPERLINK("https://www.oit.va.gov/Services/TRM/ToolPage.aspx?tid=8994^","CS Imaging")</f>
        <v>CS Imaging</v>
      </c>
      <c r="B1585" s="4" t="s">
        <v>3232</v>
      </c>
      <c r="C1585" s="8" t="s">
        <v>5</v>
      </c>
      <c r="D1585" s="11" t="s">
        <v>5743</v>
      </c>
    </row>
    <row r="1586" spans="1:4" ht="30">
      <c r="A1586" s="5" t="str">
        <f>HYPERLINK("https://www.oit.va.gov/Services/TRM/ToolPage.aspx?tid=8254^","CareWare")</f>
        <v>CareWare</v>
      </c>
      <c r="B1586" s="4" t="s">
        <v>2445</v>
      </c>
      <c r="C1586" s="8" t="s">
        <v>5</v>
      </c>
      <c r="D1586" s="11" t="s">
        <v>2446</v>
      </c>
    </row>
    <row r="1587" spans="1:4" ht="30">
      <c r="A1587" s="5" t="str">
        <f>HYPERLINK("https://www.oit.va.gov/Services/TRM/ToolPage.aspx?tid=16532^","HotDocs Advance")</f>
        <v>HotDocs Advance</v>
      </c>
      <c r="B1587" s="4" t="s">
        <v>4229</v>
      </c>
      <c r="C1587" s="8" t="s">
        <v>5</v>
      </c>
      <c r="D1587" s="11" t="s">
        <v>4230</v>
      </c>
    </row>
    <row r="1588" spans="1:4" ht="30">
      <c r="A1588" s="5" t="str">
        <f>HYPERLINK("https://www.oit.va.gov/Services/TRM/ToolPage.aspx?tid=7792^","Balloon Analogue Risk Task (BART)")</f>
        <v>Balloon Analogue Risk Task (BART)</v>
      </c>
      <c r="B1588" s="4" t="s">
        <v>7533</v>
      </c>
      <c r="C1588" s="8" t="s">
        <v>5</v>
      </c>
      <c r="D1588" s="11" t="s">
        <v>2305</v>
      </c>
    </row>
    <row r="1589" spans="1:4" ht="30">
      <c r="A1589" s="5" t="str">
        <f>HYPERLINK("https://www.oit.va.gov/Services/TRM/ToolPage.aspx?tid=15491^","Humphrey Field Analyze (HFA) Review")</f>
        <v>Humphrey Field Analyze (HFA) Review</v>
      </c>
      <c r="B1589" s="4" t="s">
        <v>2653</v>
      </c>
      <c r="C1589" s="8" t="s">
        <v>5</v>
      </c>
      <c r="D1589" s="11" t="s">
        <v>2654</v>
      </c>
    </row>
    <row r="1590" spans="1:4" ht="30">
      <c r="A1590" s="5" t="str">
        <f>HYPERLINK("https://www.oit.va.gov/Services/TRM/ToolPage.aspx?tid=14282^","Plex Elite 9000 Review Software")</f>
        <v>Plex Elite 9000 Review Software</v>
      </c>
      <c r="B1590" s="4" t="s">
        <v>2653</v>
      </c>
      <c r="C1590" s="8" t="s">
        <v>5</v>
      </c>
      <c r="D1590" s="11" t="s">
        <v>2863</v>
      </c>
    </row>
    <row r="1591" spans="1:4" ht="30">
      <c r="A1591" s="5" t="str">
        <f>HYPERLINK("https://www.oit.va.gov/Services/TRM/ToolPage.aspx?tid=11033^","Cirrus High Definition-Optical Coherence Tomography (HD-OCT) Review Software")</f>
        <v>Cirrus High Definition-Optical Coherence Tomography (HD-OCT) Review Software</v>
      </c>
      <c r="B1591" s="4" t="s">
        <v>2653</v>
      </c>
      <c r="C1591" s="8" t="s">
        <v>5</v>
      </c>
      <c r="D1591" s="11" t="s">
        <v>2100</v>
      </c>
    </row>
    <row r="1592" spans="1:4" ht="30">
      <c r="A1592" s="5" t="str">
        <f>HYPERLINK("https://www.oit.va.gov/Services/TRM/ToolPage.aspx?tid=9142^","Humphrey Field Analyzer (HFA) II-i Application Software")</f>
        <v>Humphrey Field Analyzer (HFA) II-i Application Software</v>
      </c>
      <c r="B1592" s="4" t="s">
        <v>2653</v>
      </c>
      <c r="C1592" s="8" t="s">
        <v>5</v>
      </c>
      <c r="D1592" s="11" t="s">
        <v>5234</v>
      </c>
    </row>
    <row r="1593" spans="1:4" ht="30">
      <c r="A1593" s="5" t="str">
        <f>HYPERLINK("https://www.oit.va.gov/Services/TRM/ToolPage.aspx?tid=8540^","MZ-Tools")</f>
        <v>MZ-Tools</v>
      </c>
      <c r="B1593" s="4" t="s">
        <v>440</v>
      </c>
      <c r="C1593" s="8" t="s">
        <v>5</v>
      </c>
      <c r="D1593" s="11" t="s">
        <v>441</v>
      </c>
    </row>
    <row r="1594" spans="1:4" ht="30">
      <c r="A1594" s="5" t="str">
        <f>HYPERLINK("https://www.oit.va.gov/Services/TRM/ToolPage.aspx?tid=10334^","Calero VeraSMART Call Accounting Software")</f>
        <v>Calero VeraSMART Call Accounting Software</v>
      </c>
      <c r="B1594" s="4" t="s">
        <v>5691</v>
      </c>
      <c r="C1594" s="8" t="s">
        <v>5</v>
      </c>
      <c r="D1594" s="11" t="s">
        <v>3742</v>
      </c>
    </row>
    <row r="1595" spans="1:4" ht="30">
      <c r="A1595" s="5" t="str">
        <f>HYPERLINK("https://www.oit.va.gov/Services/TRM/ToolPage.aspx?tid=13712^","Hourly Analysis Program (HAP)")</f>
        <v>Hourly Analysis Program (HAP)</v>
      </c>
      <c r="B1595" s="4" t="s">
        <v>2648</v>
      </c>
      <c r="C1595" s="8" t="s">
        <v>5</v>
      </c>
      <c r="D1595" s="11" t="s">
        <v>2649</v>
      </c>
    </row>
    <row r="1596" spans="1:4" ht="30">
      <c r="A1596" s="5" t="str">
        <f>HYPERLINK("https://www.oit.va.gov/Services/TRM/ToolPage.aspx?tid=11332^","C-Suite")</f>
        <v>C-Suite</v>
      </c>
      <c r="B1596" s="4" t="s">
        <v>7714</v>
      </c>
      <c r="C1596" s="8" t="s">
        <v>5</v>
      </c>
      <c r="D1596" s="11" t="s">
        <v>7715</v>
      </c>
    </row>
    <row r="1597" spans="1:4" ht="30">
      <c r="A1597" s="5" t="str">
        <f>HYPERLINK("https://www.oit.va.gov/Services/TRM/ToolPage.aspx?tid=14528^","Carta Cartographer")</f>
        <v>Carta Cartographer</v>
      </c>
      <c r="B1597" s="4" t="s">
        <v>3199</v>
      </c>
      <c r="C1597" s="8" t="s">
        <v>5</v>
      </c>
      <c r="D1597" s="11" t="s">
        <v>3200</v>
      </c>
    </row>
    <row r="1598" spans="1:4" ht="30">
      <c r="A1598" s="5" t="str">
        <f>HYPERLINK("https://www.oit.va.gov/Services/TRM/ToolPage.aspx?tid=7457^","InVision InSite")</f>
        <v>InVision InSite</v>
      </c>
      <c r="B1598" s="4" t="s">
        <v>5885</v>
      </c>
      <c r="C1598" s="8" t="s">
        <v>5</v>
      </c>
      <c r="D1598" s="11" t="s">
        <v>1608</v>
      </c>
    </row>
    <row r="1599" spans="1:4" ht="30">
      <c r="A1599" s="5" t="str">
        <f>HYPERLINK("https://www.oit.va.gov/Services/TRM/ToolPage.aspx?tid=16166^","Case IQ")</f>
        <v>Case IQ</v>
      </c>
      <c r="B1599" s="4" t="s">
        <v>6388</v>
      </c>
      <c r="C1599" s="8" t="s">
        <v>5</v>
      </c>
      <c r="D1599" s="11" t="s">
        <v>3267</v>
      </c>
    </row>
    <row r="1600" spans="1:4" ht="30">
      <c r="A1600" s="5" t="str">
        <f>HYPERLINK("https://www.oit.va.gov/Services/TRM/ToolPage.aspx?tid=10850^","CaseGuard Studio")</f>
        <v>CaseGuard Studio</v>
      </c>
      <c r="B1600" s="4" t="s">
        <v>6389</v>
      </c>
      <c r="C1600" s="8" t="s">
        <v>5</v>
      </c>
      <c r="D1600" s="11" t="s">
        <v>1115</v>
      </c>
    </row>
    <row r="1601" spans="1:4" ht="30">
      <c r="A1601" s="5" t="str">
        <f>HYPERLINK("https://www.oit.va.gov/Services/TRM/ToolPage.aspx?tid=16448^","Casella NoiseSafe")</f>
        <v>Casella NoiseSafe</v>
      </c>
      <c r="B1601" s="4" t="s">
        <v>6390</v>
      </c>
      <c r="C1601" s="8" t="s">
        <v>5</v>
      </c>
      <c r="D1601" s="11" t="s">
        <v>4224</v>
      </c>
    </row>
    <row r="1602" spans="1:4" ht="30">
      <c r="A1602" s="5" t="str">
        <f>HYPERLINK("https://www.oit.va.gov/Services/TRM/ToolPage.aspx?tid=15767^","Casepoint Desktop Client")</f>
        <v>Casepoint Desktop Client</v>
      </c>
      <c r="B1602" s="4" t="s">
        <v>6391</v>
      </c>
      <c r="C1602" s="8" t="s">
        <v>5</v>
      </c>
      <c r="D1602" s="11" t="s">
        <v>6392</v>
      </c>
    </row>
    <row r="1603" spans="1:4" ht="30">
      <c r="A1603" s="5" t="str">
        <f>HYPERLINK("https://www.oit.va.gov/Services/TRM/ToolPage.aspx?tid=11215^","Interactive Data Extraction and Analysis (IDEA)")</f>
        <v>Interactive Data Extraction and Analysis (IDEA)</v>
      </c>
      <c r="B1603" s="4" t="s">
        <v>428</v>
      </c>
      <c r="C1603" s="8" t="s">
        <v>5</v>
      </c>
      <c r="D1603" s="11" t="s">
        <v>429</v>
      </c>
    </row>
    <row r="1604" spans="1:4" ht="30">
      <c r="A1604" s="5" t="str">
        <f>HYPERLINK("https://www.oit.va.gov/Services/TRM/ToolPage.aspx?tid=15265^","CasperJS")</f>
        <v>CasperJS</v>
      </c>
      <c r="B1604" s="4" t="s">
        <v>7620</v>
      </c>
      <c r="C1604" s="8" t="s">
        <v>5</v>
      </c>
      <c r="D1604" s="11" t="s">
        <v>7621</v>
      </c>
    </row>
    <row r="1605" spans="1:4" ht="30">
      <c r="A1605" s="5" t="str">
        <f>HYPERLINK("https://www.oit.va.gov/Services/TRM/ToolPage.aspx?tid=8282^","CAST Application Intelligence Platform (AIP)")</f>
        <v>CAST Application Intelligence Platform (AIP)</v>
      </c>
      <c r="B1605" s="4" t="s">
        <v>612</v>
      </c>
      <c r="C1605" s="8" t="s">
        <v>5</v>
      </c>
      <c r="D1605" s="11" t="s">
        <v>613</v>
      </c>
    </row>
    <row r="1606" spans="1:4" ht="30">
      <c r="A1606" s="5" t="str">
        <f>HYPERLINK("https://www.oit.va.gov/Services/TRM/ToolPage.aspx?tid=7231^","Department Manager Accounting Module")</f>
        <v>Department Manager Accounting Module</v>
      </c>
      <c r="B1606" s="4" t="s">
        <v>6497</v>
      </c>
      <c r="C1606" s="8" t="s">
        <v>5</v>
      </c>
      <c r="D1606" s="11" t="s">
        <v>6498</v>
      </c>
    </row>
    <row r="1607" spans="1:4" ht="30">
      <c r="A1607" s="5" t="str">
        <f>HYPERLINK("https://www.oit.va.gov/Services/TRM/ToolPage.aspx?tid=14709^","Speccy")</f>
        <v>Speccy</v>
      </c>
      <c r="B1607" s="4" t="s">
        <v>4833</v>
      </c>
      <c r="C1607" s="8" t="s">
        <v>5</v>
      </c>
      <c r="D1607" s="11" t="s">
        <v>4834</v>
      </c>
    </row>
    <row r="1608" spans="1:4" ht="30">
      <c r="A1608" s="5" t="str">
        <f>HYPERLINK("https://www.oit.va.gov/Services/TRM/ToolPage.aspx?tid=14602^","CData Open Database Connectivity (ODBC) Driver for SharePoint")</f>
        <v>CData Open Database Connectivity (ODBC) Driver for SharePoint</v>
      </c>
      <c r="B1608" s="4" t="s">
        <v>3894</v>
      </c>
      <c r="C1608" s="8" t="s">
        <v>5</v>
      </c>
      <c r="D1608" s="11" t="s">
        <v>3888</v>
      </c>
    </row>
    <row r="1609" spans="1:4" ht="30">
      <c r="A1609" s="5" t="str">
        <f>HYPERLINK("https://www.oit.va.gov/Services/TRM/ToolPage.aspx?tid=14476^","Structured Query Language (SQL) Gateway")</f>
        <v>Structured Query Language (SQL) Gateway</v>
      </c>
      <c r="B1609" s="4" t="s">
        <v>3894</v>
      </c>
      <c r="C1609" s="8" t="s">
        <v>5</v>
      </c>
      <c r="D1609" s="11" t="s">
        <v>8012</v>
      </c>
    </row>
    <row r="1610" spans="1:4" ht="30">
      <c r="A1610" s="5" t="str">
        <f>HYPERLINK("https://www.oit.va.gov/Services/TRM/ToolPage.aspx?tid=10195^","Link Plus")</f>
        <v>Link Plus</v>
      </c>
      <c r="B1610" s="4" t="s">
        <v>2737</v>
      </c>
      <c r="C1610" s="8" t="s">
        <v>5</v>
      </c>
      <c r="D1610" s="11" t="s">
        <v>2145</v>
      </c>
    </row>
    <row r="1611" spans="1:4" ht="30">
      <c r="A1611" s="5" t="str">
        <f>HYPERLINK("https://www.oit.va.gov/Services/TRM/ToolPage.aspx?tid=9910^","Northcon")</f>
        <v>Northcon</v>
      </c>
      <c r="B1611" s="4" t="s">
        <v>2737</v>
      </c>
      <c r="C1611" s="8" t="s">
        <v>5</v>
      </c>
      <c r="D1611" s="11" t="s">
        <v>4416</v>
      </c>
    </row>
    <row r="1612" spans="1:4" ht="30">
      <c r="A1612" s="5" t="str">
        <f>HYPERLINK("https://www.oit.va.gov/Services/TRM/ToolPage.aspx?tid=10930^","EditWriter 5")</f>
        <v>EditWriter 5</v>
      </c>
      <c r="B1612" s="4" t="s">
        <v>2737</v>
      </c>
      <c r="C1612" s="8" t="s">
        <v>5</v>
      </c>
      <c r="D1612" s="11" t="s">
        <v>640</v>
      </c>
    </row>
    <row r="1613" spans="1:4" ht="30">
      <c r="A1613" s="5" t="str">
        <f>HYPERLINK("https://www.oit.va.gov/Services/TRM/ToolPage.aspx?tid=7049^","Generic Exchangeable-edits, Data-dictionary, and Information Translation Standard (GenEDITS) Plus")</f>
        <v>Generic Exchangeable-edits, Data-dictionary, and Information Translation Standard (GenEDITS) Plus</v>
      </c>
      <c r="B1613" s="4" t="s">
        <v>2737</v>
      </c>
      <c r="C1613" s="8" t="s">
        <v>5</v>
      </c>
      <c r="D1613" s="11" t="s">
        <v>802</v>
      </c>
    </row>
    <row r="1614" spans="1:4" ht="30">
      <c r="A1614" s="5" t="str">
        <f>HYPERLINK("https://www.oit.va.gov/Services/TRM/StandardPage.aspx?tid=8277^","International Classification of Diseases, 10 Revision, Clinical Modification (ICD-10-CM)")</f>
        <v>International Classification of Diseases, 10 Revision, Clinical Modification (ICD-10-CM)</v>
      </c>
      <c r="B1614" s="4" t="s">
        <v>2737</v>
      </c>
      <c r="C1614" s="8" t="s">
        <v>5</v>
      </c>
      <c r="D1614" s="11" t="s">
        <v>8016</v>
      </c>
    </row>
    <row r="1615" spans="1:4" ht="30">
      <c r="A1615" s="5" t="str">
        <f>HYPERLINK("https://www.oit.va.gov/Services/TRM/ToolPage.aspx?tid=13469^","Out of Band Manager (OBM)")</f>
        <v>Out of Band Manager (OBM)</v>
      </c>
      <c r="B1615" s="4" t="s">
        <v>8378</v>
      </c>
      <c r="C1615" s="8" t="s">
        <v>5</v>
      </c>
      <c r="D1615" s="11" t="s">
        <v>995</v>
      </c>
    </row>
    <row r="1616" spans="1:4" ht="30">
      <c r="A1616" s="5" t="str">
        <f>HYPERLINK("https://www.oit.va.gov/Services/TRM/ToolPage.aspx?tid=16293^","Cedars-Sinai Import (CSI)")</f>
        <v>Cedars-Sinai Import (CSI)</v>
      </c>
      <c r="B1616" s="4" t="s">
        <v>3896</v>
      </c>
      <c r="C1616" s="8" t="s">
        <v>5</v>
      </c>
      <c r="D1616" s="11" t="s">
        <v>3897</v>
      </c>
    </row>
    <row r="1617" spans="1:4" ht="30">
      <c r="A1617" s="5" t="str">
        <f>HYPERLINK("https://www.oit.va.gov/Services/TRM/ToolPage.aspx?tid=9084^","SuperLab Software")</f>
        <v>SuperLab Software</v>
      </c>
      <c r="B1617" s="4" t="s">
        <v>3002</v>
      </c>
      <c r="C1617" s="8" t="s">
        <v>5</v>
      </c>
      <c r="D1617" s="11" t="s">
        <v>3003</v>
      </c>
    </row>
    <row r="1618" spans="1:4" ht="30">
      <c r="A1618" s="5" t="str">
        <f>HYPERLINK("https://www.oit.va.gov/Services/TRM/ToolPage.aspx?tid=14033^","AbsoluteTelnet Secure Shell (SSH)")</f>
        <v>AbsoluteTelnet Secure Shell (SSH)</v>
      </c>
      <c r="B1618" s="4" t="s">
        <v>6226</v>
      </c>
      <c r="C1618" s="8" t="s">
        <v>5</v>
      </c>
      <c r="D1618" s="11" t="s">
        <v>6227</v>
      </c>
    </row>
    <row r="1619" spans="1:4" ht="30">
      <c r="A1619" s="5" t="str">
        <f>HYPERLINK("https://www.oit.va.gov/Services/TRM/ToolPage.aspx?tid=9675^","REVLIMID Risk Evaluation and Mitigation Strategy (REMS)")</f>
        <v>REVLIMID Risk Evaluation and Mitigation Strategy (REMS)</v>
      </c>
      <c r="B1619" s="4" t="s">
        <v>7082</v>
      </c>
      <c r="C1619" s="8" t="s">
        <v>5</v>
      </c>
      <c r="D1619" s="11" t="s">
        <v>3027</v>
      </c>
    </row>
    <row r="1620" spans="1:4" ht="30">
      <c r="A1620" s="5" t="str">
        <f>HYPERLINK("https://www.oit.va.gov/Services/TRM/ToolPage.aspx?tid=15554^","Cellavision Transfer Tool")</f>
        <v>Cellavision Transfer Tool</v>
      </c>
      <c r="B1620" s="4" t="s">
        <v>1408</v>
      </c>
      <c r="C1620" s="8" t="s">
        <v>5</v>
      </c>
      <c r="D1620" s="11" t="s">
        <v>1409</v>
      </c>
    </row>
    <row r="1621" spans="1:4" ht="30">
      <c r="A1621" s="5" t="str">
        <f>HYPERLINK("https://www.oit.va.gov/Services/TRM/ToolPage.aspx?tid=9932^","Cellavision Remote Review Software")</f>
        <v>Cellavision Remote Review Software</v>
      </c>
      <c r="B1621" s="4" t="s">
        <v>1408</v>
      </c>
      <c r="C1621" s="8" t="s">
        <v>5</v>
      </c>
      <c r="D1621" s="11" t="s">
        <v>3171</v>
      </c>
    </row>
    <row r="1622" spans="1:4" ht="30">
      <c r="A1622" s="5" t="str">
        <f>HYPERLINK("https://www.oit.va.gov/Services/TRM/ToolPage.aspx?tid=16249^","Celonis Agent")</f>
        <v>Celonis Agent</v>
      </c>
      <c r="B1622" s="4" t="s">
        <v>1410</v>
      </c>
      <c r="C1622" s="8" t="s">
        <v>5</v>
      </c>
      <c r="D1622" s="11" t="s">
        <v>1411</v>
      </c>
    </row>
    <row r="1623" spans="1:4" ht="30">
      <c r="A1623" s="5" t="str">
        <f>HYPERLINK("https://www.oit.va.gov/Services/TRM/ToolPage.aspx?tid=8145^","CensiTrac InstrumenTrac")</f>
        <v>CensiTrac InstrumenTrac</v>
      </c>
      <c r="B1623" s="4" t="s">
        <v>184</v>
      </c>
      <c r="C1623" s="8" t="s">
        <v>5</v>
      </c>
      <c r="D1623" s="11" t="s">
        <v>185</v>
      </c>
    </row>
    <row r="1624" spans="1:4" ht="30">
      <c r="A1624" s="5" t="str">
        <f>HYPERLINK("https://www.oit.va.gov/Services/TRM/ToolPage.aspx?tid=16033^","Tetrad")</f>
        <v>Tetrad</v>
      </c>
      <c r="B1624" s="4" t="s">
        <v>6106</v>
      </c>
      <c r="C1624" s="8" t="s">
        <v>5</v>
      </c>
      <c r="D1624" s="11" t="s">
        <v>895</v>
      </c>
    </row>
    <row r="1625" spans="1:4" ht="30">
      <c r="A1625" s="5" t="str">
        <f>HYPERLINK("https://www.oit.va.gov/Services/TRM/ToolPage.aspx?tid=8675^","OT Assessment Package (OTAP)")</f>
        <v>OT Assessment Package (OTAP)</v>
      </c>
      <c r="B1625" s="4" t="s">
        <v>3119</v>
      </c>
      <c r="C1625" s="8" t="s">
        <v>5</v>
      </c>
      <c r="D1625" s="11" t="s">
        <v>3120</v>
      </c>
    </row>
    <row r="1626" spans="1:4" ht="30">
      <c r="A1626" s="5" t="str">
        <f>HYPERLINK("https://www.oit.va.gov/Services/TRM/ToolPage.aspx?tid=13996^","Second Copy")</f>
        <v>Second Copy</v>
      </c>
      <c r="B1626" s="4" t="s">
        <v>8603</v>
      </c>
      <c r="C1626" s="8" t="s">
        <v>5</v>
      </c>
      <c r="D1626" s="11" t="s">
        <v>8604</v>
      </c>
    </row>
    <row r="1627" spans="1:4" ht="30">
      <c r="A1627" s="5" t="str">
        <f>HYPERLINK("https://www.oit.va.gov/Services/TRM/ToolPage.aspx?tid=9387^","Epi Info")</f>
        <v>Epi Info</v>
      </c>
      <c r="B1627" s="4" t="s">
        <v>680</v>
      </c>
      <c r="C1627" s="8" t="s">
        <v>5</v>
      </c>
      <c r="D1627" s="11" t="s">
        <v>681</v>
      </c>
    </row>
    <row r="1628" spans="1:4" ht="30">
      <c r="A1628" s="5" t="str">
        <f>HYPERLINK("https://www.oit.va.gov/Services/TRM/ToolPage.aspx?tid=11192^","Laboratory Response Network (LRN) Results Messenger (RM)")</f>
        <v>Laboratory Response Network (LRN) Results Messenger (RM)</v>
      </c>
      <c r="B1628" s="4" t="s">
        <v>680</v>
      </c>
      <c r="C1628" s="8" t="s">
        <v>5</v>
      </c>
      <c r="D1628" s="11" t="s">
        <v>1682</v>
      </c>
    </row>
    <row r="1629" spans="1:4" ht="30">
      <c r="A1629" s="5" t="str">
        <f>HYPERLINK("https://www.oit.va.gov/Services/TRM/StandardPage.aspx?tid=16242^","Public Health Information Network (PHIN) Messaging Guide for Syndromic Surveillance")</f>
        <v>Public Health Information Network (PHIN) Messaging Guide for Syndromic Surveillance</v>
      </c>
      <c r="B1629" s="4" t="s">
        <v>680</v>
      </c>
      <c r="C1629" s="8" t="s">
        <v>5</v>
      </c>
      <c r="D1629" s="11" t="s">
        <v>5453</v>
      </c>
    </row>
    <row r="1630" spans="1:4" ht="30">
      <c r="A1630" s="5" t="str">
        <f>HYPERLINK("https://www.oit.va.gov/Services/TRM/ToolPage.aspx?tid=14066^","Abstract Plus")</f>
        <v>Abstract Plus</v>
      </c>
      <c r="B1630" s="4" t="s">
        <v>680</v>
      </c>
      <c r="C1630" s="8" t="s">
        <v>5</v>
      </c>
      <c r="D1630" s="11" t="s">
        <v>5608</v>
      </c>
    </row>
    <row r="1631" spans="1:4" ht="30">
      <c r="A1631" s="5" t="str">
        <f>HYPERLINK("https://www.oit.va.gov/Services/TRM/ToolPage.aspx?tid=8056^","CenTrak Connect Pulse")</f>
        <v>CenTrak Connect Pulse</v>
      </c>
      <c r="B1631" s="4" t="s">
        <v>1412</v>
      </c>
      <c r="C1631" s="8" t="s">
        <v>5</v>
      </c>
      <c r="D1631" s="11" t="s">
        <v>1413</v>
      </c>
    </row>
    <row r="1632" spans="1:4" ht="30">
      <c r="A1632" s="5" t="str">
        <f>HYPERLINK("https://www.oit.va.gov/Services/TRM/ToolPage.aspx?tid=13665^","CenTrak Hand Hygiene Compliance")</f>
        <v>CenTrak Hand Hygiene Compliance</v>
      </c>
      <c r="B1632" s="4" t="s">
        <v>1412</v>
      </c>
      <c r="C1632" s="8" t="s">
        <v>5</v>
      </c>
      <c r="D1632" s="11" t="s">
        <v>2450</v>
      </c>
    </row>
    <row r="1633" spans="1:4" ht="30">
      <c r="A1633" s="5" t="str">
        <f>HYPERLINK("https://www.oit.va.gov/Services/TRM/ToolPage.aspx?tid=15332^","CenTrak Prism")</f>
        <v>CenTrak Prism</v>
      </c>
      <c r="B1633" s="4" t="s">
        <v>1412</v>
      </c>
      <c r="C1633" s="8" t="s">
        <v>5</v>
      </c>
      <c r="D1633" s="11" t="s">
        <v>2450</v>
      </c>
    </row>
    <row r="1634" spans="1:4" ht="30">
      <c r="A1634" s="5" t="str">
        <f>HYPERLINK("https://www.oit.va.gov/Services/TRM/ToolPage.aspx?tid=15802^","Centrak BACNet Connector")</f>
        <v>Centrak BACNet Connector</v>
      </c>
      <c r="B1634" s="4" t="s">
        <v>1412</v>
      </c>
      <c r="C1634" s="8" t="s">
        <v>5</v>
      </c>
      <c r="D1634" s="11" t="s">
        <v>1326</v>
      </c>
    </row>
    <row r="1635" spans="1:4" ht="30">
      <c r="A1635" s="5" t="str">
        <f>HYPERLINK("https://www.oit.va.gov/Services/TRM/ToolPage.aspx?tid=8047^","CenTrak Connect Core")</f>
        <v>CenTrak Connect Core</v>
      </c>
      <c r="B1635" s="4" t="s">
        <v>1412</v>
      </c>
      <c r="C1635" s="8" t="s">
        <v>5</v>
      </c>
      <c r="D1635" s="11" t="s">
        <v>3898</v>
      </c>
    </row>
    <row r="1636" spans="1:4" ht="30">
      <c r="A1636" s="5" t="str">
        <f>HYPERLINK("https://www.oit.va.gov/Services/TRM/ToolPage.aspx?tid=12979^","CenTrak Patient Safety")</f>
        <v>CenTrak Patient Safety</v>
      </c>
      <c r="B1636" s="4" t="s">
        <v>1412</v>
      </c>
      <c r="C1636" s="8" t="s">
        <v>5</v>
      </c>
      <c r="D1636" s="11" t="s">
        <v>1817</v>
      </c>
    </row>
    <row r="1637" spans="1:4" ht="30">
      <c r="A1637" s="5" t="str">
        <f>HYPERLINK("https://www.oit.va.gov/Services/TRM/ToolPage.aspx?tid=7770^","Inform Computer Aided Dispatch (CAD)")</f>
        <v>Inform Computer Aided Dispatch (CAD)</v>
      </c>
      <c r="B1637" s="4" t="s">
        <v>8080</v>
      </c>
      <c r="C1637" s="8" t="s">
        <v>5</v>
      </c>
      <c r="D1637" s="11" t="s">
        <v>8081</v>
      </c>
    </row>
    <row r="1638" spans="1:4" ht="30">
      <c r="A1638" s="5" t="str">
        <f>HYPERLINK("https://www.oit.va.gov/Services/TRM/ToolPage.aspx?tid=11666^","Centrify Enhanced PuTTY")</f>
        <v>Centrify Enhanced PuTTY</v>
      </c>
      <c r="B1638" s="4" t="s">
        <v>614</v>
      </c>
      <c r="C1638" s="8" t="s">
        <v>5</v>
      </c>
      <c r="D1638" s="11" t="s">
        <v>615</v>
      </c>
    </row>
    <row r="1639" spans="1:4" ht="30">
      <c r="A1639" s="5" t="str">
        <f>HYPERLINK("https://www.oit.va.gov/Services/TRM/ToolPage.aspx?tid=13573^","Delinea DirectManage")</f>
        <v>Delinea DirectManage</v>
      </c>
      <c r="B1639" s="4" t="s">
        <v>614</v>
      </c>
      <c r="C1639" s="8" t="s">
        <v>5</v>
      </c>
      <c r="D1639" s="11" t="s">
        <v>2546</v>
      </c>
    </row>
    <row r="1640" spans="1:4" ht="30">
      <c r="A1640" s="5" t="str">
        <f>HYPERLINK("https://www.oit.va.gov/Services/TRM/ToolPage.aspx?tid=11805^","Centrify Endpoint Services")</f>
        <v>Centrify Endpoint Services</v>
      </c>
      <c r="B1640" s="4" t="s">
        <v>614</v>
      </c>
      <c r="C1640" s="8" t="s">
        <v>5</v>
      </c>
      <c r="D1640" s="11" t="s">
        <v>7629</v>
      </c>
    </row>
    <row r="1641" spans="1:4" ht="30">
      <c r="A1641" s="5" t="str">
        <f>HYPERLINK("https://www.oit.va.gov/Services/TRM/ToolPage.aspx?tid=12915^","Ceph")</f>
        <v>Ceph</v>
      </c>
      <c r="B1641" s="4" t="s">
        <v>3203</v>
      </c>
      <c r="C1641" s="8" t="s">
        <v>5</v>
      </c>
      <c r="D1641" s="11" t="s">
        <v>939</v>
      </c>
    </row>
    <row r="1642" spans="1:4" ht="30">
      <c r="A1642" s="5" t="str">
        <f>HYPERLINK("https://www.oit.va.gov/Services/TRM/ToolPage.aspx?tid=15117^","GeneXpert Infinity")</f>
        <v>GeneXpert Infinity</v>
      </c>
      <c r="B1642" s="4" t="s">
        <v>3311</v>
      </c>
      <c r="C1642" s="8" t="s">
        <v>5</v>
      </c>
      <c r="D1642" s="11" t="s">
        <v>2440</v>
      </c>
    </row>
    <row r="1643" spans="1:4" ht="30">
      <c r="A1643" s="5" t="str">
        <f>HYPERLINK("https://www.oit.va.gov/Services/TRM/ToolPage.aspx?tid=13456^","Cerberus File Transfer Protocol (FTP) Server")</f>
        <v>Cerberus File Transfer Protocol (FTP) Server</v>
      </c>
      <c r="B1643" s="4" t="s">
        <v>3899</v>
      </c>
      <c r="C1643" s="8" t="s">
        <v>5</v>
      </c>
      <c r="D1643" s="11" t="s">
        <v>3900</v>
      </c>
    </row>
    <row r="1644" spans="1:4" ht="30">
      <c r="A1644" s="5" t="str">
        <f>HYPERLINK("https://www.oit.va.gov/Services/TRM/ToolPage.aspx?tid=14327^","Truss Generator")</f>
        <v>Truss Generator</v>
      </c>
      <c r="B1644" s="4" t="s">
        <v>2006</v>
      </c>
      <c r="C1644" s="8" t="s">
        <v>5</v>
      </c>
      <c r="D1644" s="11" t="s">
        <v>2007</v>
      </c>
    </row>
    <row r="1645" spans="1:4" ht="30">
      <c r="A1645" s="5" t="str">
        <f>HYPERLINK("https://www.oit.va.gov/Services/TRM/ToolPage.aspx?tid=14831^","Ceribell Electroencephalography (EEG)")</f>
        <v>Ceribell Electroencephalography (EEG)</v>
      </c>
      <c r="B1645" s="4" t="s">
        <v>1416</v>
      </c>
      <c r="C1645" s="8" t="s">
        <v>5</v>
      </c>
      <c r="D1645" s="11" t="s">
        <v>1417</v>
      </c>
    </row>
    <row r="1646" spans="1:4" ht="30">
      <c r="A1646" s="5" t="str">
        <f>HYPERLINK("https://www.oit.va.gov/Services/TRM/ToolPage.aspx?tid=13333^","ThumbsPlus")</f>
        <v>ThumbsPlus</v>
      </c>
      <c r="B1646" s="4" t="s">
        <v>8806</v>
      </c>
      <c r="C1646" s="8" t="s">
        <v>5</v>
      </c>
      <c r="D1646" s="11" t="s">
        <v>6344</v>
      </c>
    </row>
    <row r="1647" spans="1:4" ht="30">
      <c r="A1647" s="5" t="str">
        <f>HYPERLINK("https://www.oit.va.gov/Services/TRM/ToolPage.aspx?tid=14376^","Cerner 724Access Downtime Viewer")</f>
        <v>Cerner 724Access Downtime Viewer</v>
      </c>
      <c r="B1647" s="4" t="s">
        <v>1418</v>
      </c>
      <c r="C1647" s="8" t="s">
        <v>5</v>
      </c>
      <c r="D1647" s="11" t="s">
        <v>1419</v>
      </c>
    </row>
    <row r="1648" spans="1:4" ht="30">
      <c r="A1648" s="5" t="str">
        <f>HYPERLINK("https://www.oit.va.gov/Services/TRM/ToolPage.aspx?tid=14639^","Cerner HealtheIntent Data Upload Utility (HIDUU)")</f>
        <v>Cerner HealtheIntent Data Upload Utility (HIDUU)</v>
      </c>
      <c r="B1648" s="4" t="s">
        <v>1418</v>
      </c>
      <c r="C1648" s="8" t="s">
        <v>5</v>
      </c>
      <c r="D1648" s="11" t="s">
        <v>6395</v>
      </c>
    </row>
    <row r="1649" spans="1:4" ht="30">
      <c r="A1649" s="5" t="str">
        <f>HYPERLINK("https://www.oit.va.gov/Services/TRM/ToolPage.aspx?tid=11778^","First Responder Sandbox (FRS)")</f>
        <v>First Responder Sandbox (FRS)</v>
      </c>
      <c r="B1649" s="4" t="s">
        <v>7931</v>
      </c>
      <c r="C1649" s="8" t="s">
        <v>5</v>
      </c>
      <c r="D1649" s="11" t="s">
        <v>1575</v>
      </c>
    </row>
    <row r="1650" spans="1:4" ht="30">
      <c r="A1650" s="5" t="str">
        <f>HYPERLINK("https://www.oit.va.gov/Services/TRM/ToolPage.aspx?tid=6420^","Cewolf")</f>
        <v>Cewolf</v>
      </c>
      <c r="B1650" s="4" t="s">
        <v>6396</v>
      </c>
      <c r="C1650" s="8" t="s">
        <v>5</v>
      </c>
      <c r="D1650" s="11" t="s">
        <v>3168</v>
      </c>
    </row>
    <row r="1651" spans="1:4" ht="30">
      <c r="A1651" s="5" t="str">
        <f>HYPERLINK("https://www.oit.va.gov/Services/TRM/ToolPage.aspx?tid=6461^","CFEngine Community")</f>
        <v>CFEngine Community</v>
      </c>
      <c r="B1651" s="4" t="s">
        <v>3902</v>
      </c>
      <c r="C1651" s="8" t="s">
        <v>5</v>
      </c>
      <c r="D1651" s="11" t="s">
        <v>3903</v>
      </c>
    </row>
    <row r="1652" spans="1:4" ht="30">
      <c r="A1652" s="5" t="str">
        <f>HYPERLINK("https://www.oit.va.gov/Services/TRM/ToolPage.aspx?tid=16271^","CFturbo")</f>
        <v>CFturbo</v>
      </c>
      <c r="B1652" s="4" t="s">
        <v>3904</v>
      </c>
      <c r="C1652" s="8" t="s">
        <v>5</v>
      </c>
      <c r="D1652" s="11" t="s">
        <v>238</v>
      </c>
    </row>
    <row r="1653" spans="1:4" ht="30">
      <c r="A1653" s="5" t="str">
        <f>HYPERLINK("https://www.oit.va.gov/Services/TRM/ToolPage.aspx?tid=16326^","Momentum")</f>
        <v>Momentum</v>
      </c>
      <c r="B1653" s="4" t="s">
        <v>1752</v>
      </c>
      <c r="C1653" s="8" t="s">
        <v>5</v>
      </c>
      <c r="D1653" s="11" t="s">
        <v>1753</v>
      </c>
    </row>
    <row r="1654" spans="1:4" ht="30">
      <c r="A1654" s="5" t="str">
        <f>HYPERLINK("https://www.oit.va.gov/Services/TRM/ToolPage.aspx?tid=11763^","PhotoRec")</f>
        <v>PhotoRec</v>
      </c>
      <c r="B1654" s="4" t="s">
        <v>2168</v>
      </c>
      <c r="C1654" s="8" t="s">
        <v>5</v>
      </c>
      <c r="D1654" s="11" t="s">
        <v>2169</v>
      </c>
    </row>
    <row r="1655" spans="1:4" ht="30">
      <c r="A1655" s="5" t="str">
        <f>HYPERLINK("https://www.oit.va.gov/Services/TRM/ToolPage.aspx?tid=13464^","Vericut")</f>
        <v>Vericut</v>
      </c>
      <c r="B1655" s="4" t="s">
        <v>8868</v>
      </c>
      <c r="C1655" s="8" t="s">
        <v>5</v>
      </c>
      <c r="D1655" s="11" t="s">
        <v>2123</v>
      </c>
    </row>
    <row r="1656" spans="1:4" ht="30">
      <c r="A1656" s="5" t="str">
        <f>HYPERLINK("https://www.oit.va.gov/Services/TRM/ToolPage.aspx?tid=10221^","Chai")</f>
        <v>Chai</v>
      </c>
      <c r="B1656" s="4" t="s">
        <v>3204</v>
      </c>
      <c r="C1656" s="8" t="s">
        <v>5</v>
      </c>
      <c r="D1656" s="11" t="s">
        <v>3205</v>
      </c>
    </row>
    <row r="1657" spans="1:4" ht="30">
      <c r="A1657" s="5" t="str">
        <f>HYPERLINK("https://www.oit.va.gov/Services/TRM/ToolPage.aspx?tid=7888^","Change Healthcare Radiology Solution")</f>
        <v>Change Healthcare Radiology Solution</v>
      </c>
      <c r="B1657" s="4" t="s">
        <v>1420</v>
      </c>
      <c r="C1657" s="8" t="s">
        <v>5</v>
      </c>
      <c r="D1657" s="11" t="s">
        <v>1421</v>
      </c>
    </row>
    <row r="1658" spans="1:4" ht="30">
      <c r="A1658" s="5" t="str">
        <f>HYPERLINK("https://www.oit.va.gov/Services/TRM/ToolPage.aspx?tid=16259^","Change Healthcare Cardiology Picture Archive and Communication System (PACS)")</f>
        <v>Change Healthcare Cardiology Picture Archive and Communication System (PACS)</v>
      </c>
      <c r="B1658" s="4" t="s">
        <v>1420</v>
      </c>
      <c r="C1658" s="8" t="s">
        <v>5</v>
      </c>
      <c r="D1658" s="11" t="s">
        <v>2216</v>
      </c>
    </row>
    <row r="1659" spans="1:4" ht="30">
      <c r="A1659" s="5" t="str">
        <f>HYPERLINK("https://www.oit.va.gov/Services/TRM/ToolPage.aspx?tid=10165^","ClaimsXten")</f>
        <v>ClaimsXten</v>
      </c>
      <c r="B1659" s="4" t="s">
        <v>1420</v>
      </c>
      <c r="C1659" s="8" t="s">
        <v>5</v>
      </c>
      <c r="D1659" s="11" t="s">
        <v>2457</v>
      </c>
    </row>
    <row r="1660" spans="1:4" ht="30">
      <c r="A1660" s="5" t="str">
        <f>HYPERLINK("https://www.oit.va.gov/Services/TRM/ToolPage.aspx?tid=8923^","Workflow Intelligence")</f>
        <v>Workflow Intelligence</v>
      </c>
      <c r="B1660" s="4" t="s">
        <v>1420</v>
      </c>
      <c r="C1660" s="8" t="s">
        <v>5</v>
      </c>
      <c r="D1660" s="11" t="s">
        <v>2183</v>
      </c>
    </row>
    <row r="1661" spans="1:4" ht="30">
      <c r="A1661" s="5" t="str">
        <f>HYPERLINK("https://www.oit.va.gov/Services/TRM/ToolPage.aspx?tid=10623^","Change Healthcare Study Share")</f>
        <v>Change Healthcare Study Share</v>
      </c>
      <c r="B1661" s="4" t="s">
        <v>1420</v>
      </c>
      <c r="C1661" s="8" t="s">
        <v>5</v>
      </c>
      <c r="D1661" s="11" t="s">
        <v>7634</v>
      </c>
    </row>
    <row r="1662" spans="1:4" ht="30">
      <c r="A1662" s="5" t="str">
        <f>HYPERLINK("https://www.oit.va.gov/Services/TRM/ToolPage.aspx?tid=13774^","Path Copy Copy")</f>
        <v>Path Copy Copy</v>
      </c>
      <c r="B1662" s="4" t="s">
        <v>8400</v>
      </c>
      <c r="C1662" s="8" t="s">
        <v>5</v>
      </c>
      <c r="D1662" s="11" t="s">
        <v>8401</v>
      </c>
    </row>
    <row r="1663" spans="1:4" ht="30">
      <c r="A1663" s="5" t="str">
        <f>HYPERLINK("https://www.oit.va.gov/Services/TRM/ToolPage.aspx?tid=12847^","Fuzzy Set/Qualitative Comparitive Analysis")</f>
        <v>Fuzzy Set/Qualitative Comparitive Analysis</v>
      </c>
      <c r="B1663" s="4" t="s">
        <v>6640</v>
      </c>
      <c r="C1663" s="8" t="s">
        <v>5</v>
      </c>
      <c r="D1663" s="11" t="s">
        <v>6592</v>
      </c>
    </row>
    <row r="1664" spans="1:4" ht="30">
      <c r="A1664" s="5" t="str">
        <f>HYPERLINK("https://www.oit.va.gov/Services/TRM/ToolPage.aspx?tid=11611^","EndoScan-V")</f>
        <v>EndoScan-V</v>
      </c>
      <c r="B1664" s="4" t="s">
        <v>5789</v>
      </c>
      <c r="C1664" s="8" t="s">
        <v>5</v>
      </c>
      <c r="D1664" s="11" t="s">
        <v>5790</v>
      </c>
    </row>
    <row r="1665" spans="1:4" ht="30">
      <c r="A1665" s="5" t="str">
        <f>HYPERLINK("https://www.oit.va.gov/Services/TRM/ToolPage.aspx?tid=6551^","novaLINK")</f>
        <v>novaLINK</v>
      </c>
      <c r="B1665" s="4" t="s">
        <v>443</v>
      </c>
      <c r="C1665" s="8" t="s">
        <v>5</v>
      </c>
      <c r="D1665" s="11" t="s">
        <v>444</v>
      </c>
    </row>
    <row r="1666" spans="1:4" ht="30">
      <c r="A1666" s="5" t="str">
        <f>HYPERLINK("https://www.oit.va.gov/Services/TRM/ToolPage.aspx?tid=13462^","DataView")</f>
        <v>DataView</v>
      </c>
      <c r="B1666" s="4" t="s">
        <v>7737</v>
      </c>
      <c r="C1666" s="8" t="s">
        <v>5</v>
      </c>
      <c r="D1666" s="11" t="s">
        <v>7646</v>
      </c>
    </row>
    <row r="1667" spans="1:4" ht="30">
      <c r="A1667" s="5" t="str">
        <f>HYPERLINK("https://www.oit.va.gov/Services/TRM/ToolPage.aspx?tid=14432^","Checkmarx Static Application Security Testing (SAST)")</f>
        <v>Checkmarx Static Application Security Testing (SAST)</v>
      </c>
      <c r="B1667" s="4" t="s">
        <v>188</v>
      </c>
      <c r="C1667" s="8" t="s">
        <v>5</v>
      </c>
      <c r="D1667" s="11" t="s">
        <v>189</v>
      </c>
    </row>
    <row r="1668" spans="1:4" ht="30">
      <c r="A1668" s="5" t="str">
        <f>HYPERLINK("https://www.oit.va.gov/Services/TRM/ToolPage.aspx?tid=8051^","OAT Foundation Suite")</f>
        <v>OAT Foundation Suite</v>
      </c>
      <c r="B1668" s="4" t="s">
        <v>1188</v>
      </c>
      <c r="C1668" s="8" t="s">
        <v>5</v>
      </c>
      <c r="D1668" s="11" t="s">
        <v>1189</v>
      </c>
    </row>
    <row r="1669" spans="1:4" ht="30">
      <c r="A1669" s="5" t="str">
        <f>HYPERLINK("https://www.oit.va.gov/Services/TRM/ToolPage.aspx?tid=14003^","SSL Network Extender")</f>
        <v>SSL Network Extender</v>
      </c>
      <c r="B1669" s="4" t="s">
        <v>1188</v>
      </c>
      <c r="C1669" s="8" t="s">
        <v>5</v>
      </c>
      <c r="D1669" s="11" t="s">
        <v>1210</v>
      </c>
    </row>
    <row r="1670" spans="1:4" ht="30">
      <c r="A1670" s="5" t="str">
        <f>HYPERLINK("https://www.oit.va.gov/Services/TRM/ToolPage.aspx?tid=182^","CheckStyle")</f>
        <v>CheckStyle</v>
      </c>
      <c r="B1670" s="4" t="s">
        <v>5703</v>
      </c>
      <c r="C1670" s="8" t="s">
        <v>5</v>
      </c>
      <c r="D1670" s="11" t="s">
        <v>5704</v>
      </c>
    </row>
    <row r="1671" spans="1:4" ht="30">
      <c r="A1671" s="5" t="str">
        <f>HYPERLINK("https://www.oit.va.gov/Services/TRM/ToolPage.aspx?tid=8677^","Chef Infra Server")</f>
        <v>Chef Infra Server</v>
      </c>
      <c r="B1671" s="4" t="s">
        <v>3208</v>
      </c>
      <c r="C1671" s="8" t="s">
        <v>5</v>
      </c>
      <c r="D1671" s="11" t="s">
        <v>3209</v>
      </c>
    </row>
    <row r="1672" spans="1:4" ht="30">
      <c r="A1672" s="5" t="str">
        <f>HYPERLINK("https://www.oit.va.gov/Services/TRM/ToolPage.aspx?tid=7304^","Chef-solo")</f>
        <v>Chef-solo</v>
      </c>
      <c r="B1672" s="4" t="s">
        <v>3208</v>
      </c>
      <c r="C1672" s="8" t="s">
        <v>5</v>
      </c>
      <c r="D1672" s="11" t="s">
        <v>1240</v>
      </c>
    </row>
    <row r="1673" spans="1:4" ht="30">
      <c r="A1673" s="5" t="str">
        <f>HYPERLINK("https://www.oit.va.gov/Services/TRM/ToolPage.aspx?tid=15093^","ChemDAQ Data Acquisition System (DAQ)")</f>
        <v>ChemDAQ Data Acquisition System (DAQ)</v>
      </c>
      <c r="B1673" s="4" t="s">
        <v>3210</v>
      </c>
      <c r="C1673" s="8" t="s">
        <v>5</v>
      </c>
      <c r="D1673" s="11" t="s">
        <v>648</v>
      </c>
    </row>
    <row r="1674" spans="1:4" ht="30">
      <c r="A1674" s="5" t="str">
        <f>HYPERLINK("https://www.oit.va.gov/Services/TRM/ToolPage.aspx?tid=14732^","Environmental Management Systems (EMS) Chemical Inventory Management")</f>
        <v>Environmental Management Systems (EMS) Chemical Inventory Management</v>
      </c>
      <c r="B1674" s="4" t="s">
        <v>6582</v>
      </c>
      <c r="C1674" s="8" t="s">
        <v>5</v>
      </c>
      <c r="D1674" s="11" t="s">
        <v>1545</v>
      </c>
    </row>
    <row r="1675" spans="1:4" ht="30">
      <c r="A1675" s="5" t="str">
        <f>HYPERLINK("https://www.oit.va.gov/Services/TRM/ToolPage.aspx?tid=11723^","ChemCAD")</f>
        <v>ChemCAD</v>
      </c>
      <c r="B1675" s="4" t="s">
        <v>5098</v>
      </c>
      <c r="C1675" s="8" t="s">
        <v>5</v>
      </c>
      <c r="D1675" s="11" t="s">
        <v>4011</v>
      </c>
    </row>
    <row r="1676" spans="1:4" ht="30">
      <c r="A1676" s="5" t="str">
        <f>HYPERLINK("https://www.oit.va.gov/Services/TRM/ToolPage.aspx?tid=15521^","Generic FileSecure")</f>
        <v>Generic FileSecure</v>
      </c>
      <c r="B1676" s="4" t="s">
        <v>6643</v>
      </c>
      <c r="C1676" s="8" t="s">
        <v>5</v>
      </c>
      <c r="D1676" s="11" t="s">
        <v>4896</v>
      </c>
    </row>
    <row r="1677" spans="1:4" ht="30">
      <c r="A1677" s="5" t="str">
        <f>HYPERLINK("https://www.oit.va.gov/Services/TRM/ToolPage.aspx?tid=8563^","Multiple Virtual Storage (MVS)/QuickRef")</f>
        <v>Multiple Virtual Storage (MVS)/QuickRef</v>
      </c>
      <c r="B1677" s="4" t="s">
        <v>6896</v>
      </c>
      <c r="C1677" s="8" t="s">
        <v>5</v>
      </c>
      <c r="D1677" s="11" t="s">
        <v>1661</v>
      </c>
    </row>
    <row r="1678" spans="1:4" ht="30">
      <c r="A1678" s="5" t="str">
        <f>HYPERLINK("https://www.oit.va.gov/Services/TRM/ToolPage.aspx?tid=13644^","Zip 2 Secure EXE")</f>
        <v>Zip 2 Secure EXE</v>
      </c>
      <c r="B1678" s="4" t="s">
        <v>8982</v>
      </c>
      <c r="C1678" s="8" t="s">
        <v>5</v>
      </c>
      <c r="D1678" s="11" t="s">
        <v>7294</v>
      </c>
    </row>
    <row r="1679" spans="1:4" ht="30">
      <c r="A1679" s="5" t="str">
        <f>HYPERLINK("https://www.oit.va.gov/Services/TRM/ToolPage.aspx?tid=13871^","Chocolatey")</f>
        <v>Chocolatey</v>
      </c>
      <c r="B1679" s="4" t="s">
        <v>1424</v>
      </c>
      <c r="C1679" s="8" t="s">
        <v>5</v>
      </c>
      <c r="D1679" s="11" t="s">
        <v>1425</v>
      </c>
    </row>
    <row r="1680" spans="1:4" ht="30">
      <c r="A1680" s="5" t="str">
        <f>HYPERLINK("https://www.oit.va.gov/Services/TRM/ToolPage.aspx?tid=16779^","Chocolatey Command Line Interface (CLI)")</f>
        <v>Chocolatey Command Line Interface (CLI)</v>
      </c>
      <c r="B1680" s="4" t="s">
        <v>1424</v>
      </c>
      <c r="C1680" s="8" t="s">
        <v>5</v>
      </c>
      <c r="D1680" s="11" t="s">
        <v>3909</v>
      </c>
    </row>
    <row r="1681" spans="1:4" ht="30">
      <c r="A1681" s="5" t="str">
        <f>HYPERLINK("https://www.oit.va.gov/Services/TRM/ToolPage.aspx?tid=10731^","Sound eXchange (SoX)")</f>
        <v>Sound eXchange (SoX)</v>
      </c>
      <c r="B1681" s="4" t="s">
        <v>6210</v>
      </c>
      <c r="C1681" s="8" t="s">
        <v>5</v>
      </c>
      <c r="D1681" s="11" t="s">
        <v>256</v>
      </c>
    </row>
    <row r="1682" spans="1:4" ht="30">
      <c r="A1682" s="5" t="str">
        <f>HYPERLINK("https://www.oit.va.gov/Services/TRM/ToolPage.aspx?tid=8125^","StyleCop")</f>
        <v>StyleCop</v>
      </c>
      <c r="B1682" s="4" t="s">
        <v>5533</v>
      </c>
      <c r="C1682" s="8" t="s">
        <v>5</v>
      </c>
      <c r="D1682" s="11" t="s">
        <v>2854</v>
      </c>
    </row>
    <row r="1683" spans="1:4" ht="30">
      <c r="A1683" s="5" t="str">
        <f>HYPERLINK("https://www.oit.va.gov/Services/TRM/ToolPage.aspx?tid=8157^","Compass")</f>
        <v>Compass</v>
      </c>
      <c r="B1683" s="4" t="s">
        <v>5725</v>
      </c>
      <c r="C1683" s="8" t="s">
        <v>5</v>
      </c>
      <c r="D1683" s="11" t="s">
        <v>1824</v>
      </c>
    </row>
    <row r="1684" spans="1:4" ht="30">
      <c r="A1684" s="5" t="str">
        <f>HYPERLINK("https://www.oit.va.gov/Services/TRM/ToolPage.aspx?tid=6584^","Clang Static Analyzer")</f>
        <v>Clang Static Analyzer</v>
      </c>
      <c r="B1684" s="4" t="s">
        <v>6415</v>
      </c>
      <c r="C1684" s="8" t="s">
        <v>5</v>
      </c>
      <c r="D1684" s="11" t="s">
        <v>5657</v>
      </c>
    </row>
    <row r="1685" spans="1:4" ht="30">
      <c r="A1685" s="5" t="str">
        <f>HYPERLINK("https://www.oit.va.gov/Services/TRM/ToolPage.aspx?tid=11678^","Grunt-Nodemon")</f>
        <v>Grunt-Nodemon</v>
      </c>
      <c r="B1685" s="4" t="s">
        <v>6674</v>
      </c>
      <c r="C1685" s="8" t="s">
        <v>5</v>
      </c>
      <c r="D1685" s="11" t="s">
        <v>5227</v>
      </c>
    </row>
    <row r="1686" spans="1:4" ht="30">
      <c r="A1686" s="5" t="str">
        <f>HYPERLINK("https://www.oit.va.gov/Services/TRM/ToolPage.aspx?tid=13653^","Password Generator (PWGen)")</f>
        <v>Password Generator (PWGen)</v>
      </c>
      <c r="B1686" s="4" t="s">
        <v>8396</v>
      </c>
      <c r="C1686" s="8" t="s">
        <v>5</v>
      </c>
      <c r="D1686" s="11" t="s">
        <v>3416</v>
      </c>
    </row>
    <row r="1687" spans="1:4" ht="30">
      <c r="A1687" s="5" t="str">
        <f>HYPERLINK("https://www.oit.va.gov/Services/TRM/ToolPage.aspx?tid=15147^","Power BI Reports Scheduler (PBRS)")</f>
        <v>Power BI Reports Scheduler (PBRS)</v>
      </c>
      <c r="B1687" s="4" t="s">
        <v>7020</v>
      </c>
      <c r="C1687" s="8" t="s">
        <v>5</v>
      </c>
      <c r="D1687" s="11" t="s">
        <v>6931</v>
      </c>
    </row>
    <row r="1688" spans="1:4" ht="30">
      <c r="A1688" s="5" t="str">
        <f>HYPERLINK("https://www.oit.va.gov/Services/TRM/ToolPage.aspx?tid=6515^","Chromium")</f>
        <v>Chromium</v>
      </c>
      <c r="B1688" s="4" t="s">
        <v>3211</v>
      </c>
      <c r="C1688" s="8" t="s">
        <v>5</v>
      </c>
      <c r="D1688" s="11" t="s">
        <v>3212</v>
      </c>
    </row>
    <row r="1689" spans="1:4" ht="30">
      <c r="A1689" s="5" t="str">
        <f>HYPERLINK("https://www.oit.va.gov/Services/TRM/ToolPage.aspx?tid=8731^","OnePager")</f>
        <v>OnePager</v>
      </c>
      <c r="B1689" s="4" t="s">
        <v>4540</v>
      </c>
      <c r="C1689" s="8" t="s">
        <v>5</v>
      </c>
      <c r="D1689" s="11" t="s">
        <v>1785</v>
      </c>
    </row>
    <row r="1690" spans="1:4" ht="30">
      <c r="A1690" s="5" t="str">
        <f>HYPERLINK("https://www.oit.va.gov/Services/TRM/ToolPage.aspx?tid=10523^","Chronotron Pro")</f>
        <v>Chronotron Pro</v>
      </c>
      <c r="B1690" s="4" t="s">
        <v>3213</v>
      </c>
      <c r="C1690" s="8" t="s">
        <v>5</v>
      </c>
      <c r="D1690" s="11" t="s">
        <v>3214</v>
      </c>
    </row>
    <row r="1691" spans="1:4" ht="30">
      <c r="A1691" s="5" t="str">
        <f>HYPERLINK("https://www.oit.va.gov/Services/TRM/ToolPage.aspx?tid=14421^","pilot-link")</f>
        <v>pilot-link</v>
      </c>
      <c r="B1691" s="4" t="s">
        <v>8436</v>
      </c>
      <c r="C1691" s="8" t="s">
        <v>5</v>
      </c>
      <c r="D1691" s="11" t="s">
        <v>8437</v>
      </c>
    </row>
    <row r="1692" spans="1:4" ht="30">
      <c r="A1692" s="5" t="str">
        <f>HYPERLINK("https://www.oit.va.gov/Services/TRM/ToolPage.aspx?tid=14188^","Chyron LyricX")</f>
        <v>Chyron LyricX</v>
      </c>
      <c r="B1692" s="4" t="s">
        <v>7641</v>
      </c>
      <c r="C1692" s="8" t="s">
        <v>5</v>
      </c>
      <c r="D1692" s="11" t="s">
        <v>2415</v>
      </c>
    </row>
    <row r="1693" spans="1:4" ht="30">
      <c r="A1693" s="5" t="str">
        <f>HYPERLINK("https://www.oit.va.gov/Services/TRM/ToolPage.aspx?tid=7076^","Continuous Integration (CI) Factory")</f>
        <v>Continuous Integration (CI) Factory</v>
      </c>
      <c r="B1693" s="4" t="s">
        <v>7700</v>
      </c>
      <c r="C1693" s="8" t="s">
        <v>5</v>
      </c>
      <c r="D1693" s="11" t="s">
        <v>7701</v>
      </c>
    </row>
    <row r="1694" spans="1:4" ht="30">
      <c r="A1694" s="5" t="str">
        <f>HYPERLINK("https://www.oit.va.gov/Services/TRM/ToolPage.aspx?tid=14886^","KeySecure")</f>
        <v>KeySecure</v>
      </c>
      <c r="B1694" s="4" t="s">
        <v>8149</v>
      </c>
      <c r="C1694" s="8" t="s">
        <v>5</v>
      </c>
      <c r="D1694" s="11" t="s">
        <v>4878</v>
      </c>
    </row>
    <row r="1695" spans="1:4" ht="30">
      <c r="A1695" s="5" t="str">
        <f>HYPERLINK("https://www.oit.va.gov/Services/TRM/ToolPage.aspx?tid=13372^","CintaNotes")</f>
        <v>CintaNotes</v>
      </c>
      <c r="B1695" s="4" t="s">
        <v>6399</v>
      </c>
      <c r="C1695" s="8" t="s">
        <v>5</v>
      </c>
      <c r="D1695" s="11" t="s">
        <v>6400</v>
      </c>
    </row>
    <row r="1696" spans="1:4" ht="30">
      <c r="A1696" s="5" t="str">
        <f>HYPERLINK("https://www.oit.va.gov/Services/TRM/ToolPage.aspx?tid=10186^","GAITRite")</f>
        <v>GAITRite</v>
      </c>
      <c r="B1696" s="4" t="s">
        <v>3308</v>
      </c>
      <c r="C1696" s="8" t="s">
        <v>5</v>
      </c>
      <c r="D1696" s="11" t="s">
        <v>3309</v>
      </c>
    </row>
    <row r="1697" spans="1:4" ht="30">
      <c r="A1697" s="5" t="str">
        <f>HYPERLINK("https://www.oit.va.gov/Services/TRM/ToolPage.aspx?tid=15922^","NIOX Database")</f>
        <v>NIOX Database</v>
      </c>
      <c r="B1697" s="4" t="s">
        <v>1065</v>
      </c>
      <c r="C1697" s="8" t="s">
        <v>5</v>
      </c>
      <c r="D1697" s="11" t="s">
        <v>1066</v>
      </c>
    </row>
    <row r="1698" spans="1:4" ht="30">
      <c r="A1698" s="5" t="str">
        <f>HYPERLINK("https://www.oit.va.gov/Services/TRM/ToolPage.aspx?tid=15923^","NIOX Panel")</f>
        <v>NIOX Panel</v>
      </c>
      <c r="B1698" s="4" t="s">
        <v>1065</v>
      </c>
      <c r="C1698" s="8" t="s">
        <v>5</v>
      </c>
      <c r="D1698" s="11" t="s">
        <v>1066</v>
      </c>
    </row>
    <row r="1699" spans="1:4" ht="30">
      <c r="A1699" s="5" t="str">
        <f>HYPERLINK("https://www.oit.va.gov/Services/TRM/ToolPage.aspx?tid=15928^","NIOX Patient")</f>
        <v>NIOX Patient</v>
      </c>
      <c r="B1699" s="4" t="s">
        <v>1065</v>
      </c>
      <c r="C1699" s="8" t="s">
        <v>5</v>
      </c>
      <c r="D1699" s="11" t="s">
        <v>1066</v>
      </c>
    </row>
    <row r="1700" spans="1:4" ht="30">
      <c r="A1700" s="5" t="str">
        <f>HYPERLINK("https://www.oit.va.gov/Services/TRM/ToolPage.aspx?tid=15929^","NIOX Quality Control (QC)")</f>
        <v>NIOX Quality Control (QC)</v>
      </c>
      <c r="B1700" s="4" t="s">
        <v>1065</v>
      </c>
      <c r="C1700" s="8" t="s">
        <v>5</v>
      </c>
      <c r="D1700" s="11" t="s">
        <v>1067</v>
      </c>
    </row>
    <row r="1701" spans="1:4" ht="30">
      <c r="A1701" s="5" t="str">
        <f>HYPERLINK("https://www.oit.va.gov/Services/TRM/ToolPage.aspx?tid=8243^","Circle Cardiovascular Imaging (cvi42)")</f>
        <v>Circle Cardiovascular Imaging (cvi42)</v>
      </c>
      <c r="B1701" s="4" t="s">
        <v>620</v>
      </c>
      <c r="C1701" s="8" t="s">
        <v>5</v>
      </c>
      <c r="D1701" s="11" t="s">
        <v>621</v>
      </c>
    </row>
    <row r="1702" spans="1:4" ht="30">
      <c r="A1702" s="5" t="str">
        <f>HYPERLINK("https://www.oit.va.gov/Services/TRM/ToolPage.aspx?tid=6147^","Stat/Transfer")</f>
        <v>Stat/Transfer</v>
      </c>
      <c r="B1702" s="4" t="s">
        <v>4849</v>
      </c>
      <c r="C1702" s="8" t="s">
        <v>5</v>
      </c>
      <c r="D1702" s="11" t="s">
        <v>839</v>
      </c>
    </row>
    <row r="1703" spans="1:4" ht="30">
      <c r="A1703" s="5" t="str">
        <f>HYPERLINK("https://www.oit.va.gov/Services/TRM/ToolPage.aspx?tid=15647^","NoiseTools Software")</f>
        <v>NoiseTools Software</v>
      </c>
      <c r="B1703" s="4" t="s">
        <v>6946</v>
      </c>
      <c r="C1703" s="8" t="s">
        <v>5</v>
      </c>
      <c r="D1703" s="11" t="s">
        <v>6947</v>
      </c>
    </row>
    <row r="1704" spans="1:4" ht="30">
      <c r="A1704" s="5" t="str">
        <f>HYPERLINK("https://www.oit.va.gov/Services/TRM/ToolPage.aspx?tid=15083^","Nikto2")</f>
        <v>Nikto2</v>
      </c>
      <c r="B1704" s="4" t="s">
        <v>2159</v>
      </c>
      <c r="C1704" s="8" t="s">
        <v>5</v>
      </c>
      <c r="D1704" s="11" t="s">
        <v>2160</v>
      </c>
    </row>
    <row r="1705" spans="1:4" ht="30">
      <c r="A1705" s="5" t="str">
        <f>HYPERLINK("https://www.oit.va.gov/Services/TRM/ToolPage.aspx?tid=8829^","Cisco Unified Contact Center Express (UCCX)")</f>
        <v>Cisco Unified Contact Center Express (UCCX)</v>
      </c>
      <c r="B1705" s="4" t="s">
        <v>622</v>
      </c>
      <c r="C1705" s="8" t="s">
        <v>5</v>
      </c>
      <c r="D1705" s="11" t="s">
        <v>623</v>
      </c>
    </row>
    <row r="1706" spans="1:4" ht="30">
      <c r="A1706" s="5" t="str">
        <f>HYPERLINK("https://www.oit.va.gov/Services/TRM/ToolPage.aspx?tid=5897^","Cisco AnyConnect Secure Mobility Client")</f>
        <v>Cisco AnyConnect Secure Mobility Client</v>
      </c>
      <c r="B1706" s="4" t="s">
        <v>622</v>
      </c>
      <c r="C1706" s="8" t="s">
        <v>5</v>
      </c>
      <c r="D1706" s="11" t="s">
        <v>1426</v>
      </c>
    </row>
    <row r="1707" spans="1:4" ht="30">
      <c r="A1707" s="5" t="str">
        <f>HYPERLINK("https://www.oit.va.gov/Services/TRM/ToolPage.aspx?tid=7608^","Cisco Unified Communications Manager (UCM)")</f>
        <v>Cisco Unified Communications Manager (UCM)</v>
      </c>
      <c r="B1707" s="4" t="s">
        <v>622</v>
      </c>
      <c r="C1707" s="8" t="s">
        <v>5</v>
      </c>
      <c r="D1707" s="11" t="s">
        <v>1348</v>
      </c>
    </row>
    <row r="1708" spans="1:4" ht="30">
      <c r="A1708" s="5" t="str">
        <f>HYPERLINK("https://www.oit.va.gov/Services/TRM/ToolPage.aspx?tid=10808^","Cisco Video Surveillance Manager (VSM)")</f>
        <v>Cisco Video Surveillance Manager (VSM)</v>
      </c>
      <c r="B1708" s="4" t="s">
        <v>622</v>
      </c>
      <c r="C1708" s="8" t="s">
        <v>5</v>
      </c>
      <c r="D1708" s="11" t="s">
        <v>1427</v>
      </c>
    </row>
    <row r="1709" spans="1:4" ht="30">
      <c r="A1709" s="5" t="str">
        <f>HYPERLINK("https://www.oit.va.gov/Services/TRM/ToolPage.aspx?tid=5906^","Webex Meetings, Events and Training Client")</f>
        <v>Webex Meetings, Events and Training Client</v>
      </c>
      <c r="B1709" s="4" t="s">
        <v>622</v>
      </c>
      <c r="C1709" s="8" t="s">
        <v>5</v>
      </c>
      <c r="D1709" s="11" t="s">
        <v>1293</v>
      </c>
    </row>
    <row r="1710" spans="1:4" ht="30">
      <c r="A1710" s="5" t="str">
        <f>HYPERLINK("https://www.oit.va.gov/Services/TRM/ToolPage.aspx?tid=7293^","WebEx Network Recording Player")</f>
        <v>WebEx Network Recording Player</v>
      </c>
      <c r="B1710" s="4" t="s">
        <v>622</v>
      </c>
      <c r="C1710" s="8" t="s">
        <v>5</v>
      </c>
      <c r="D1710" s="11" t="s">
        <v>2053</v>
      </c>
    </row>
    <row r="1711" spans="1:4" ht="30">
      <c r="A1711" s="5" t="str">
        <f>HYPERLINK("https://www.oit.va.gov/Services/TRM/ToolPage.aspx?tid=13642^","Adaptive Security Device Manager (ASDM)")</f>
        <v>Adaptive Security Device Manager (ASDM)</v>
      </c>
      <c r="B1711" s="4" t="s">
        <v>622</v>
      </c>
      <c r="C1711" s="8" t="s">
        <v>5</v>
      </c>
      <c r="D1711" s="11" t="s">
        <v>2355</v>
      </c>
    </row>
    <row r="1712" spans="1:4" ht="30">
      <c r="A1712" s="5" t="str">
        <f>HYPERLINK("https://www.oit.va.gov/Services/TRM/ToolPage.aspx?tid=7491^","Cisco Finesse")</f>
        <v>Cisco Finesse</v>
      </c>
      <c r="B1712" s="4" t="s">
        <v>622</v>
      </c>
      <c r="C1712" s="8" t="s">
        <v>5</v>
      </c>
      <c r="D1712" s="11" t="s">
        <v>1334</v>
      </c>
    </row>
    <row r="1713" spans="1:4" ht="30">
      <c r="A1713" s="5" t="str">
        <f>HYPERLINK("https://www.oit.va.gov/Services/TRM/ToolPage.aspx?tid=9777^","Cisco Jabber for Windows")</f>
        <v>Cisco Jabber for Windows</v>
      </c>
      <c r="B1713" s="4" t="s">
        <v>622</v>
      </c>
      <c r="C1713" s="8" t="s">
        <v>5</v>
      </c>
      <c r="D1713" s="11" t="s">
        <v>2454</v>
      </c>
    </row>
    <row r="1714" spans="1:4" ht="30">
      <c r="A1714" s="5" t="str">
        <f>HYPERLINK("https://www.oit.va.gov/Services/TRM/ToolPage.aspx?tid=8667^","Cisco Modeling Labs (CML) for Enterprise")</f>
        <v>Cisco Modeling Labs (CML) for Enterprise</v>
      </c>
      <c r="B1714" s="4" t="s">
        <v>622</v>
      </c>
      <c r="C1714" s="8" t="s">
        <v>5</v>
      </c>
      <c r="D1714" s="11" t="s">
        <v>1388</v>
      </c>
    </row>
    <row r="1715" spans="1:4" ht="30">
      <c r="A1715" s="5" t="str">
        <f>HYPERLINK("https://www.oit.va.gov/Services/TRM/ToolPage.aspx?tid=15464^","Cisco Network Services Orchestrator (NSO)")</f>
        <v>Cisco Network Services Orchestrator (NSO)</v>
      </c>
      <c r="B1715" s="4" t="s">
        <v>622</v>
      </c>
      <c r="C1715" s="8" t="s">
        <v>5</v>
      </c>
      <c r="D1715" s="11" t="s">
        <v>1439</v>
      </c>
    </row>
    <row r="1716" spans="1:4" ht="30">
      <c r="A1716" s="5" t="str">
        <f>HYPERLINK("https://www.oit.va.gov/Services/TRM/ToolPage.aspx?tid=7449^","Cisco Real-Time Monitoring Tool (RTMT)")</f>
        <v>Cisco Real-Time Monitoring Tool (RTMT)</v>
      </c>
      <c r="B1716" s="4" t="s">
        <v>622</v>
      </c>
      <c r="C1716" s="8" t="s">
        <v>5</v>
      </c>
      <c r="D1716" s="11" t="s">
        <v>2455</v>
      </c>
    </row>
    <row r="1717" spans="1:4" ht="30">
      <c r="A1717" s="5" t="str">
        <f>HYPERLINK("https://www.oit.va.gov/Services/TRM/ToolPage.aspx?tid=7579^","Cisco Unified Customer Voice Portal (CVP)")</f>
        <v>Cisco Unified Customer Voice Portal (CVP)</v>
      </c>
      <c r="B1717" s="4" t="s">
        <v>622</v>
      </c>
      <c r="C1717" s="8" t="s">
        <v>5</v>
      </c>
      <c r="D1717" s="11" t="s">
        <v>2150</v>
      </c>
    </row>
    <row r="1718" spans="1:4" ht="30">
      <c r="A1718" s="5" t="str">
        <f>HYPERLINK("https://www.oit.va.gov/Services/TRM/ToolPage.aspx?tid=15918^","Splunk Information Technology Service Intelligence (ITSI)")</f>
        <v>Splunk Information Technology Service Intelligence (ITSI)</v>
      </c>
      <c r="B1718" s="4" t="s">
        <v>622</v>
      </c>
      <c r="C1718" s="8" t="s">
        <v>5</v>
      </c>
      <c r="D1718" s="11" t="s">
        <v>2380</v>
      </c>
    </row>
    <row r="1719" spans="1:4" ht="30">
      <c r="A1719" s="5" t="str">
        <f>HYPERLINK("https://www.oit.va.gov/Services/TRM/ToolPage.aspx?tid=12874^","Cisco Prime Collaboration")</f>
        <v>Cisco Prime Collaboration</v>
      </c>
      <c r="B1719" s="4" t="s">
        <v>622</v>
      </c>
      <c r="C1719" s="8" t="s">
        <v>5</v>
      </c>
      <c r="D1719" s="11" t="s">
        <v>3215</v>
      </c>
    </row>
    <row r="1720" spans="1:4" ht="30">
      <c r="A1720" s="5" t="str">
        <f>HYPERLINK("https://www.oit.va.gov/Services/TRM/ToolPage.aspx?tid=16254^","CE Deploy")</f>
        <v>CE Deploy</v>
      </c>
      <c r="B1720" s="4" t="s">
        <v>622</v>
      </c>
      <c r="C1720" s="8" t="s">
        <v>5</v>
      </c>
      <c r="D1720" s="11" t="s">
        <v>3895</v>
      </c>
    </row>
    <row r="1721" spans="1:4" ht="30">
      <c r="A1721" s="5" t="str">
        <f>HYPERLINK("https://www.oit.va.gov/Services/TRM/ToolPage.aspx?tid=10136^","Cisco Integrated Management Controller (IMC) Supervisor")</f>
        <v>Cisco Integrated Management Controller (IMC) Supervisor</v>
      </c>
      <c r="B1721" s="4" t="s">
        <v>622</v>
      </c>
      <c r="C1721" s="8" t="s">
        <v>5</v>
      </c>
      <c r="D1721" s="11" t="s">
        <v>1135</v>
      </c>
    </row>
    <row r="1722" spans="1:4" ht="30">
      <c r="A1722" s="5" t="str">
        <f>HYPERLINK("https://www.oit.va.gov/Services/TRM/ToolPage.aspx?tid=14275^","Cisco Intersight")</f>
        <v>Cisco Intersight</v>
      </c>
      <c r="B1722" s="4" t="s">
        <v>622</v>
      </c>
      <c r="C1722" s="8" t="s">
        <v>5</v>
      </c>
      <c r="D1722" s="11" t="s">
        <v>2113</v>
      </c>
    </row>
    <row r="1723" spans="1:4" ht="30">
      <c r="A1723" s="5" t="str">
        <f>HYPERLINK("https://www.oit.va.gov/Services/TRM/ToolPage.aspx?tid=10775^","Cisco Nexus Dashboard Fabric Controller")</f>
        <v>Cisco Nexus Dashboard Fabric Controller</v>
      </c>
      <c r="B1723" s="4" t="s">
        <v>622</v>
      </c>
      <c r="C1723" s="8" t="s">
        <v>5</v>
      </c>
      <c r="D1723" s="11" t="s">
        <v>3912</v>
      </c>
    </row>
    <row r="1724" spans="1:4" ht="30">
      <c r="A1724" s="5" t="str">
        <f>HYPERLINK("https://www.oit.va.gov/Services/TRM/ToolPage.aspx?tid=5901^","Cisco Packet Tracer")</f>
        <v>Cisco Packet Tracer</v>
      </c>
      <c r="B1724" s="4" t="s">
        <v>622</v>
      </c>
      <c r="C1724" s="8" t="s">
        <v>5</v>
      </c>
      <c r="D1724" s="11" t="s">
        <v>3913</v>
      </c>
    </row>
    <row r="1725" spans="1:4" ht="30">
      <c r="A1725" s="5" t="str">
        <f>HYPERLINK("https://www.oit.va.gov/Services/TRM/ToolPage.aspx?tid=16370^","Cisco RoomOS")</f>
        <v>Cisco RoomOS</v>
      </c>
      <c r="B1725" s="4" t="s">
        <v>622</v>
      </c>
      <c r="C1725" s="8" t="s">
        <v>5</v>
      </c>
      <c r="D1725" s="11" t="s">
        <v>3914</v>
      </c>
    </row>
    <row r="1726" spans="1:4" ht="30">
      <c r="A1726" s="5" t="str">
        <f>HYPERLINK("https://www.oit.va.gov/Services/TRM/ToolPage.aspx?tid=8827^","Cisco Unified Computing System (UCS) Central")</f>
        <v>Cisco Unified Computing System (UCS) Central</v>
      </c>
      <c r="B1726" s="4" t="s">
        <v>622</v>
      </c>
      <c r="C1726" s="8" t="s">
        <v>5</v>
      </c>
      <c r="D1726" s="11" t="s">
        <v>3915</v>
      </c>
    </row>
    <row r="1727" spans="1:4" ht="30">
      <c r="A1727" s="5" t="str">
        <f>HYPERLINK("https://www.oit.va.gov/Services/TRM/ToolPage.aspx?tid=8828^","Cisco Unified Computing System (UCS) Manager")</f>
        <v>Cisco Unified Computing System (UCS) Manager</v>
      </c>
      <c r="B1727" s="4" t="s">
        <v>622</v>
      </c>
      <c r="C1727" s="8" t="s">
        <v>5</v>
      </c>
      <c r="D1727" s="11" t="s">
        <v>3913</v>
      </c>
    </row>
    <row r="1728" spans="1:4" ht="30">
      <c r="A1728" s="5" t="str">
        <f>HYPERLINK("https://www.oit.va.gov/Services/TRM/ToolPage.aspx?tid=7492^","Cisco Unity Connection")</f>
        <v>Cisco Unity Connection</v>
      </c>
      <c r="B1728" s="4" t="s">
        <v>622</v>
      </c>
      <c r="C1728" s="8" t="s">
        <v>5</v>
      </c>
      <c r="D1728" s="11" t="s">
        <v>1413</v>
      </c>
    </row>
    <row r="1729" spans="1:4" ht="30">
      <c r="A1729" s="5" t="str">
        <f>HYPERLINK("https://www.oit.va.gov/Services/TRM/ToolPage.aspx?tid=13366^","Cisco WebEx Extension")</f>
        <v>Cisco WebEx Extension</v>
      </c>
      <c r="B1729" s="4" t="s">
        <v>622</v>
      </c>
      <c r="C1729" s="8" t="s">
        <v>5</v>
      </c>
      <c r="D1729" s="11" t="s">
        <v>640</v>
      </c>
    </row>
    <row r="1730" spans="1:4" ht="30">
      <c r="A1730" s="5" t="str">
        <f>HYPERLINK("https://www.oit.va.gov/Services/TRM/ToolPage.aspx?tid=16852^","Splunk Open Database Connectivity (ODBC) Driver")</f>
        <v>Splunk Open Database Connectivity (ODBC) Driver</v>
      </c>
      <c r="B1730" s="4" t="s">
        <v>622</v>
      </c>
      <c r="C1730" s="8" t="s">
        <v>5</v>
      </c>
      <c r="D1730" s="11" t="s">
        <v>4840</v>
      </c>
    </row>
    <row r="1731" spans="1:4" ht="30">
      <c r="A1731" s="5" t="str">
        <f>HYPERLINK("https://www.oit.va.gov/Services/TRM/ToolPage.aspx?tid=9986^","Splunk Universal Forwarder")</f>
        <v>Splunk Universal Forwarder</v>
      </c>
      <c r="B1731" s="4" t="s">
        <v>622</v>
      </c>
      <c r="C1731" s="8" t="s">
        <v>5</v>
      </c>
      <c r="D1731" s="11" t="s">
        <v>830</v>
      </c>
    </row>
    <row r="1732" spans="1:4" ht="30">
      <c r="A1732" s="5" t="str">
        <f>HYPERLINK("https://www.oit.va.gov/Services/TRM/ToolPage.aspx?tid=13521^","WebEx Teams")</f>
        <v>WebEx Teams</v>
      </c>
      <c r="B1732" s="4" t="s">
        <v>622</v>
      </c>
      <c r="C1732" s="8" t="s">
        <v>5</v>
      </c>
      <c r="D1732" s="11" t="s">
        <v>4990</v>
      </c>
    </row>
    <row r="1733" spans="1:4" ht="30">
      <c r="A1733" s="5" t="str">
        <f>HYPERLINK("https://www.oit.va.gov/Services/TRM/ToolPage.aspx?tid=13767^","Cisco Aironet Configuration Administration Tool (ACAT)")</f>
        <v>Cisco Aironet Configuration Administration Tool (ACAT)</v>
      </c>
      <c r="B1733" s="4" t="s">
        <v>622</v>
      </c>
      <c r="C1733" s="8" t="s">
        <v>5</v>
      </c>
      <c r="D1733" s="11" t="s">
        <v>5099</v>
      </c>
    </row>
    <row r="1734" spans="1:4" ht="30">
      <c r="A1734" s="5" t="str">
        <f>HYPERLINK("https://www.oit.va.gov/Services/TRM/ToolPage.aspx?tid=13524^","Cisco Command Line Interface (CLI) Analyzer")</f>
        <v>Cisco Command Line Interface (CLI) Analyzer</v>
      </c>
      <c r="B1734" s="4" t="s">
        <v>622</v>
      </c>
      <c r="C1734" s="8" t="s">
        <v>5</v>
      </c>
      <c r="D1734" s="11" t="s">
        <v>3659</v>
      </c>
    </row>
    <row r="1735" spans="1:4" ht="30">
      <c r="A1735" s="5" t="str">
        <f>HYPERLINK("https://www.oit.va.gov/Services/TRM/ToolPage.aspx?tid=8958^","Cisco Consolidated Object Backup and Restore Application Suite (COBRAS)")</f>
        <v>Cisco Consolidated Object Backup and Restore Application Suite (COBRAS)</v>
      </c>
      <c r="B1735" s="4" t="s">
        <v>622</v>
      </c>
      <c r="C1735" s="8" t="s">
        <v>5</v>
      </c>
      <c r="D1735" s="11" t="s">
        <v>5100</v>
      </c>
    </row>
    <row r="1736" spans="1:4" ht="30">
      <c r="A1736" s="5" t="str">
        <f>HYPERLINK("https://www.oit.va.gov/Services/TRM/ToolPage.aspx?tid=8398^","Cisco Emergency Responder (CER)")</f>
        <v>Cisco Emergency Responder (CER)</v>
      </c>
      <c r="B1736" s="4" t="s">
        <v>622</v>
      </c>
      <c r="C1736" s="8" t="s">
        <v>5</v>
      </c>
      <c r="D1736" s="11" t="s">
        <v>906</v>
      </c>
    </row>
    <row r="1737" spans="1:4" ht="30">
      <c r="A1737" s="5" t="str">
        <f>HYPERLINK("https://www.oit.va.gov/Services/TRM/ToolPage.aspx?tid=10051^","Cisco MediaSense")</f>
        <v>Cisco MediaSense</v>
      </c>
      <c r="B1737" s="4" t="s">
        <v>622</v>
      </c>
      <c r="C1737" s="8" t="s">
        <v>5</v>
      </c>
      <c r="D1737" s="11" t="s">
        <v>5101</v>
      </c>
    </row>
    <row r="1738" spans="1:4" ht="30">
      <c r="A1738" s="5" t="str">
        <f>HYPERLINK("https://www.oit.va.gov/Services/TRM/ToolPage.aspx?tid=6581^","Cisco Prime Local Area Network (LAN) Management Solution")</f>
        <v>Cisco Prime Local Area Network (LAN) Management Solution</v>
      </c>
      <c r="B1738" s="4" t="s">
        <v>622</v>
      </c>
      <c r="C1738" s="8" t="s">
        <v>5</v>
      </c>
      <c r="D1738" s="11" t="s">
        <v>4841</v>
      </c>
    </row>
    <row r="1739" spans="1:4" ht="30">
      <c r="A1739" s="5" t="str">
        <f>HYPERLINK("https://www.oit.va.gov/Services/TRM/ToolPage.aspx?tid=7599^","Cisco Unified Contact Center Enterprise (UCCE)")</f>
        <v>Cisco Unified Contact Center Enterprise (UCCE)</v>
      </c>
      <c r="B1739" s="4" t="s">
        <v>622</v>
      </c>
      <c r="C1739" s="8" t="s">
        <v>5</v>
      </c>
      <c r="D1739" s="11" t="s">
        <v>5102</v>
      </c>
    </row>
    <row r="1740" spans="1:4" ht="30">
      <c r="A1740" s="5" t="str">
        <f>HYPERLINK("https://www.oit.va.gov/Services/TRM/ToolPage.aspx?tid=13512^","Web-based Automatic Call Distribution (WebACD)")</f>
        <v>Web-based Automatic Call Distribution (WebACD)</v>
      </c>
      <c r="B1740" s="4" t="s">
        <v>622</v>
      </c>
      <c r="C1740" s="8" t="s">
        <v>5</v>
      </c>
      <c r="D1740" s="11" t="s">
        <v>5593</v>
      </c>
    </row>
    <row r="1741" spans="1:4" ht="30">
      <c r="A1741" s="5" t="str">
        <f>HYPERLINK("https://www.oit.va.gov/Services/TRM/ToolPage.aspx?tid=5896^","Cisco Agent Desktop")</f>
        <v>Cisco Agent Desktop</v>
      </c>
      <c r="B1741" s="4" t="s">
        <v>622</v>
      </c>
      <c r="C1741" s="8" t="s">
        <v>5</v>
      </c>
      <c r="D1741" s="11" t="s">
        <v>6401</v>
      </c>
    </row>
    <row r="1742" spans="1:4" ht="30">
      <c r="A1742" s="5" t="str">
        <f>HYPERLINK("https://www.oit.va.gov/Services/TRM/ToolPage.aspx?tid=8666^","Cisco Call Handler Data Dump")</f>
        <v>Cisco Call Handler Data Dump</v>
      </c>
      <c r="B1742" s="4" t="s">
        <v>622</v>
      </c>
      <c r="C1742" s="8" t="s">
        <v>5</v>
      </c>
      <c r="D1742" s="11" t="s">
        <v>6402</v>
      </c>
    </row>
    <row r="1743" spans="1:4" ht="30">
      <c r="A1743" s="5" t="str">
        <f>HYPERLINK("https://www.oit.va.gov/Services/TRM/ToolPage.aspx?tid=11560^","Cisco Intelligent Proximity")</f>
        <v>Cisco Intelligent Proximity</v>
      </c>
      <c r="B1743" s="4" t="s">
        <v>622</v>
      </c>
      <c r="C1743" s="8" t="s">
        <v>5</v>
      </c>
      <c r="D1743" s="11" t="s">
        <v>6403</v>
      </c>
    </row>
    <row r="1744" spans="1:4" ht="30">
      <c r="A1744" s="5" t="str">
        <f>HYPERLINK("https://www.oit.va.gov/Services/TRM/ToolPage.aspx?tid=5899^","Cisco Internet Protocol (IP) Communicator")</f>
        <v>Cisco Internet Protocol (IP) Communicator</v>
      </c>
      <c r="B1744" s="4" t="s">
        <v>622</v>
      </c>
      <c r="C1744" s="8" t="s">
        <v>5</v>
      </c>
      <c r="D1744" s="11" t="s">
        <v>6404</v>
      </c>
    </row>
    <row r="1745" spans="1:4" ht="30">
      <c r="A1745" s="5" t="str">
        <f>HYPERLINK("https://www.oit.va.gov/Services/TRM/ToolPage.aspx?tid=7408^","Cisco Meeting Server")</f>
        <v>Cisco Meeting Server</v>
      </c>
      <c r="B1745" s="4" t="s">
        <v>622</v>
      </c>
      <c r="C1745" s="8" t="s">
        <v>5</v>
      </c>
      <c r="D1745" s="11" t="s">
        <v>6405</v>
      </c>
    </row>
    <row r="1746" spans="1:4" ht="30">
      <c r="A1746" s="5" t="str">
        <f>HYPERLINK("https://www.oit.va.gov/Services/TRM/ToolPage.aspx?tid=5903^","Cisco Secure Services Client")</f>
        <v>Cisco Secure Services Client</v>
      </c>
      <c r="B1746" s="4" t="s">
        <v>622</v>
      </c>
      <c r="C1746" s="8" t="s">
        <v>5</v>
      </c>
      <c r="D1746" s="11" t="s">
        <v>6406</v>
      </c>
    </row>
    <row r="1747" spans="1:4" ht="30">
      <c r="A1747" s="5" t="str">
        <f>HYPERLINK("https://www.oit.va.gov/Services/TRM/ToolPage.aspx?tid=13529^","Cisco Security Agent")</f>
        <v>Cisco Security Agent</v>
      </c>
      <c r="B1747" s="4" t="s">
        <v>622</v>
      </c>
      <c r="C1747" s="8" t="s">
        <v>5</v>
      </c>
      <c r="D1747" s="11" t="s">
        <v>6407</v>
      </c>
    </row>
    <row r="1748" spans="1:4" ht="30">
      <c r="A1748" s="5" t="str">
        <f>HYPERLINK("https://www.oit.va.gov/Services/TRM/ToolPage.aspx?tid=6369^","Cisco Telepresence Management Suite (TMS)")</f>
        <v>Cisco Telepresence Management Suite (TMS)</v>
      </c>
      <c r="B1748" s="4" t="s">
        <v>622</v>
      </c>
      <c r="C1748" s="8" t="s">
        <v>5</v>
      </c>
      <c r="D1748" s="11" t="s">
        <v>416</v>
      </c>
    </row>
    <row r="1749" spans="1:4" ht="30">
      <c r="A1749" s="5" t="str">
        <f>HYPERLINK("https://www.oit.va.gov/Services/TRM/ToolPage.aspx?tid=6155^","Cisco TelePresence Server")</f>
        <v>Cisco TelePresence Server</v>
      </c>
      <c r="B1749" s="4" t="s">
        <v>622</v>
      </c>
      <c r="C1749" s="8" t="s">
        <v>5</v>
      </c>
      <c r="D1749" s="11" t="s">
        <v>2178</v>
      </c>
    </row>
    <row r="1750" spans="1:4" ht="30">
      <c r="A1750" s="5" t="str">
        <f>HYPERLINK("https://www.oit.va.gov/Services/TRM/ToolPage.aspx?tid=9791^","Cisco Unified Communications Manager IM and Presence Service")</f>
        <v>Cisco Unified Communications Manager IM and Presence Service</v>
      </c>
      <c r="B1750" s="4" t="s">
        <v>622</v>
      </c>
      <c r="C1750" s="8" t="s">
        <v>5</v>
      </c>
      <c r="D1750" s="11" t="s">
        <v>6408</v>
      </c>
    </row>
    <row r="1751" spans="1:4" ht="30">
      <c r="A1751" s="5" t="str">
        <f>HYPERLINK("https://www.oit.va.gov/Services/TRM/ToolPage.aspx?tid=9971^","Cisco Unified Contact Center Management Portal (CCMP)")</f>
        <v>Cisco Unified Contact Center Management Portal (CCMP)</v>
      </c>
      <c r="B1751" s="4" t="s">
        <v>622</v>
      </c>
      <c r="C1751" s="8" t="s">
        <v>5</v>
      </c>
      <c r="D1751" s="11" t="s">
        <v>6409</v>
      </c>
    </row>
    <row r="1752" spans="1:4" ht="30">
      <c r="A1752" s="5" t="str">
        <f>HYPERLINK("https://www.oit.va.gov/Services/TRM/ToolPage.aspx?tid=7600^","Cisco Unified Intelligence Center (CUIC)")</f>
        <v>Cisco Unified Intelligence Center (CUIC)</v>
      </c>
      <c r="B1752" s="4" t="s">
        <v>622</v>
      </c>
      <c r="C1752" s="8" t="s">
        <v>5</v>
      </c>
      <c r="D1752" s="11" t="s">
        <v>843</v>
      </c>
    </row>
    <row r="1753" spans="1:4" ht="30">
      <c r="A1753" s="5" t="str">
        <f>HYPERLINK("https://www.oit.va.gov/Services/TRM/ToolPage.aspx?tid=10368^","Cisco Unified Video Advantage")</f>
        <v>Cisco Unified Video Advantage</v>
      </c>
      <c r="B1753" s="4" t="s">
        <v>622</v>
      </c>
      <c r="C1753" s="8" t="s">
        <v>5</v>
      </c>
      <c r="D1753" s="11" t="s">
        <v>6410</v>
      </c>
    </row>
    <row r="1754" spans="1:4" ht="30">
      <c r="A1754" s="5" t="str">
        <f>HYPERLINK("https://www.oit.va.gov/Services/TRM/ToolPage.aspx?tid=11528^","Cisco Virtual Internet Routing Lab (VIRL)")</f>
        <v>Cisco Virtual Internet Routing Lab (VIRL)</v>
      </c>
      <c r="B1754" s="4" t="s">
        <v>622</v>
      </c>
      <c r="C1754" s="8" t="s">
        <v>5</v>
      </c>
      <c r="D1754" s="11" t="s">
        <v>939</v>
      </c>
    </row>
    <row r="1755" spans="1:4" ht="30">
      <c r="A1755" s="5" t="str">
        <f>HYPERLINK("https://www.oit.va.gov/Services/TRM/StandardPage.aspx?tid=8321^","Generic Routing Encapsulation (GRE)")</f>
        <v>Generic Routing Encapsulation (GRE)</v>
      </c>
      <c r="B1755" s="4" t="s">
        <v>622</v>
      </c>
      <c r="C1755" s="8" t="s">
        <v>5</v>
      </c>
      <c r="D1755" s="11" t="s">
        <v>1014</v>
      </c>
    </row>
    <row r="1756" spans="1:4" ht="30">
      <c r="A1756" s="5" t="str">
        <f>HYPERLINK("https://www.oit.va.gov/Services/TRM/ToolPage.aspx?tid=10975^","Unified Attendant Console")</f>
        <v>Unified Attendant Console</v>
      </c>
      <c r="B1756" s="4" t="s">
        <v>622</v>
      </c>
      <c r="C1756" s="8" t="s">
        <v>5</v>
      </c>
      <c r="D1756" s="11" t="s">
        <v>7266</v>
      </c>
    </row>
    <row r="1757" spans="1:4" ht="30">
      <c r="A1757" s="5" t="str">
        <f>HYPERLINK("https://www.oit.va.gov/Services/TRM/StandardPage.aspx?tid=5410^","Virtual Local Area Networks (VLAN) Trunking Protocol (VTP)")</f>
        <v>Virtual Local Area Networks (VLAN) Trunking Protocol (VTP)</v>
      </c>
      <c r="B1757" s="4" t="s">
        <v>622</v>
      </c>
      <c r="C1757" s="8" t="s">
        <v>5</v>
      </c>
      <c r="D1757" s="11" t="s">
        <v>7292</v>
      </c>
    </row>
    <row r="1758" spans="1:4" ht="30">
      <c r="A1758" s="5" t="str">
        <f>HYPERLINK("https://www.oit.va.gov/Services/TRM/ToolPage.aspx?tid=13449^","Webex Recording Editor")</f>
        <v>Webex Recording Editor</v>
      </c>
      <c r="B1758" s="4" t="s">
        <v>622</v>
      </c>
      <c r="C1758" s="8" t="s">
        <v>5</v>
      </c>
      <c r="D1758" s="11" t="s">
        <v>2311</v>
      </c>
    </row>
    <row r="1759" spans="1:4" ht="30">
      <c r="A1759" s="5" t="str">
        <f>HYPERLINK("https://www.oit.va.gov/Services/TRM/ToolPage.aspx?tid=13379^","Aironet Desktop Utility (ADU)")</f>
        <v>Aironet Desktop Utility (ADU)</v>
      </c>
      <c r="B1759" s="4" t="s">
        <v>622</v>
      </c>
      <c r="C1759" s="8" t="s">
        <v>5</v>
      </c>
      <c r="D1759" s="11" t="s">
        <v>7399</v>
      </c>
    </row>
    <row r="1760" spans="1:4" ht="30">
      <c r="A1760" s="5" t="str">
        <f>HYPERLINK("https://www.oit.va.gov/Services/TRM/ToolPage.aspx?tid=13577^","Cisco AnyConnect Profile Editor")</f>
        <v>Cisco AnyConnect Profile Editor</v>
      </c>
      <c r="B1760" s="4" t="s">
        <v>622</v>
      </c>
      <c r="C1760" s="8" t="s">
        <v>5</v>
      </c>
      <c r="D1760" s="11" t="s">
        <v>7642</v>
      </c>
    </row>
    <row r="1761" spans="1:4" ht="30">
      <c r="A1761" s="5" t="str">
        <f>HYPERLINK("https://www.oit.va.gov/Services/TRM/ToolPage.aspx?tid=10310^","Cisco Computer Telephony Integration Object Server (CTI OS)")</f>
        <v>Cisco Computer Telephony Integration Object Server (CTI OS)</v>
      </c>
      <c r="B1761" s="4" t="s">
        <v>622</v>
      </c>
      <c r="C1761" s="8" t="s">
        <v>5</v>
      </c>
      <c r="D1761" s="11" t="s">
        <v>7644</v>
      </c>
    </row>
    <row r="1762" spans="1:4" ht="30">
      <c r="A1762" s="5" t="str">
        <f>HYPERLINK("https://www.oit.va.gov/Services/TRM/ToolPage.aspx?tid=8668^","Cisco Connection Message Shuttle")</f>
        <v>Cisco Connection Message Shuttle</v>
      </c>
      <c r="B1762" s="4" t="s">
        <v>622</v>
      </c>
      <c r="C1762" s="8" t="s">
        <v>5</v>
      </c>
      <c r="D1762" s="11" t="s">
        <v>3398</v>
      </c>
    </row>
    <row r="1763" spans="1:4" ht="30">
      <c r="A1763" s="5" t="str">
        <f>HYPERLINK("https://www.oit.va.gov/Services/TRM/ToolPage.aspx?tid=6628^","Cisco Network Admission Control (NAC) Agent")</f>
        <v>Cisco Network Admission Control (NAC) Agent</v>
      </c>
      <c r="B1763" s="4" t="s">
        <v>622</v>
      </c>
      <c r="C1763" s="8" t="s">
        <v>5</v>
      </c>
      <c r="D1763" s="11" t="s">
        <v>4841</v>
      </c>
    </row>
    <row r="1764" spans="1:4" ht="30">
      <c r="A1764" s="5" t="str">
        <f>HYPERLINK("https://www.oit.va.gov/Services/TRM/ToolPage.aspx?tid=13575^","Cisco Phone Designer")</f>
        <v>Cisco Phone Designer</v>
      </c>
      <c r="B1764" s="4" t="s">
        <v>622</v>
      </c>
      <c r="C1764" s="8" t="s">
        <v>5</v>
      </c>
      <c r="D1764" s="11" t="s">
        <v>7645</v>
      </c>
    </row>
    <row r="1765" spans="1:4" ht="30">
      <c r="A1765" s="5" t="str">
        <f>HYPERLINK("https://www.oit.va.gov/Services/TRM/ToolPage.aspx?tid=8669^","Cisco Port Status Remote Monitor for Connection (rPSM)")</f>
        <v>Cisco Port Status Remote Monitor for Connection (rPSM)</v>
      </c>
      <c r="B1765" s="4" t="s">
        <v>622</v>
      </c>
      <c r="C1765" s="8" t="s">
        <v>5</v>
      </c>
      <c r="D1765" s="11" t="s">
        <v>843</v>
      </c>
    </row>
    <row r="1766" spans="1:4" ht="30">
      <c r="A1766" s="5" t="str">
        <f>HYPERLINK("https://www.oit.va.gov/Services/TRM/ToolPage.aspx?tid=10909^","Cisco Prime Assurance Manager")</f>
        <v>Cisco Prime Assurance Manager</v>
      </c>
      <c r="B1766" s="4" t="s">
        <v>622</v>
      </c>
      <c r="C1766" s="8" t="s">
        <v>5</v>
      </c>
      <c r="D1766" s="11" t="s">
        <v>7610</v>
      </c>
    </row>
    <row r="1767" spans="1:4" ht="30">
      <c r="A1767" s="5" t="str">
        <f>HYPERLINK("https://www.oit.va.gov/Services/TRM/ToolPage.aspx?tid=13673^","Cisco Unified Call Studio")</f>
        <v>Cisco Unified Call Studio</v>
      </c>
      <c r="B1767" s="4" t="s">
        <v>622</v>
      </c>
      <c r="C1767" s="8" t="s">
        <v>5</v>
      </c>
      <c r="D1767" s="11" t="s">
        <v>7646</v>
      </c>
    </row>
    <row r="1768" spans="1:4" ht="30">
      <c r="A1768" s="5" t="str">
        <f>HYPERLINK("https://www.oit.va.gov/Services/TRM/ToolPage.aspx?tid=11435^","Cisco Unified Communications Audit Tool (UCAT)")</f>
        <v>Cisco Unified Communications Audit Tool (UCAT)</v>
      </c>
      <c r="B1768" s="4" t="s">
        <v>622</v>
      </c>
      <c r="C1768" s="8" t="s">
        <v>5</v>
      </c>
      <c r="D1768" s="11" t="s">
        <v>5483</v>
      </c>
    </row>
    <row r="1769" spans="1:4" ht="30">
      <c r="A1769" s="5" t="str">
        <f>HYPERLINK("https://www.oit.va.gov/Services/TRM/ToolPage.aspx?tid=7451^","Cisco Unified Contact Center Express Historical Reports")</f>
        <v>Cisco Unified Contact Center Express Historical Reports</v>
      </c>
      <c r="B1769" s="4" t="s">
        <v>622</v>
      </c>
      <c r="C1769" s="8" t="s">
        <v>5</v>
      </c>
      <c r="D1769" s="11" t="s">
        <v>385</v>
      </c>
    </row>
    <row r="1770" spans="1:4" ht="30">
      <c r="A1770" s="5" t="str">
        <f>HYPERLINK("https://www.oit.va.gov/Services/TRM/ToolPage.aspx?tid=8959^","Cisco User Data Dump")</f>
        <v>Cisco User Data Dump</v>
      </c>
      <c r="B1770" s="4" t="s">
        <v>622</v>
      </c>
      <c r="C1770" s="8" t="s">
        <v>5</v>
      </c>
      <c r="D1770" s="11" t="s">
        <v>5100</v>
      </c>
    </row>
    <row r="1771" spans="1:4" ht="30">
      <c r="A1771" s="5" t="str">
        <f>HYPERLINK("https://www.oit.va.gov/Services/TRM/ToolPage.aspx?tid=13444^","Cisco User Tracking Utility")</f>
        <v>Cisco User Tracking Utility</v>
      </c>
      <c r="B1771" s="4" t="s">
        <v>622</v>
      </c>
      <c r="C1771" s="8" t="s">
        <v>5</v>
      </c>
      <c r="D1771" s="11" t="s">
        <v>3492</v>
      </c>
    </row>
    <row r="1772" spans="1:4" ht="30">
      <c r="A1772" s="5" t="str">
        <f>HYPERLINK("https://www.oit.va.gov/Services/TRM/ToolPage.aspx?tid=13502^","Cisco Voice Log Translator (VLT)")</f>
        <v>Cisco Voice Log Translator (VLT)</v>
      </c>
      <c r="B1772" s="4" t="s">
        <v>622</v>
      </c>
      <c r="C1772" s="8" t="s">
        <v>5</v>
      </c>
      <c r="D1772" s="11" t="s">
        <v>7647</v>
      </c>
    </row>
    <row r="1773" spans="1:4" ht="30">
      <c r="A1773" s="5" t="str">
        <f>HYPERLINK("https://www.oit.va.gov/Services/TRM/ToolPage.aspx?tid=13507^","Configuration Assistant")</f>
        <v>Configuration Assistant</v>
      </c>
      <c r="B1773" s="4" t="s">
        <v>622</v>
      </c>
      <c r="C1773" s="8" t="s">
        <v>5</v>
      </c>
      <c r="D1773" s="11" t="s">
        <v>7646</v>
      </c>
    </row>
    <row r="1774" spans="1:4" ht="30">
      <c r="A1774" s="5" t="str">
        <f>HYPERLINK("https://www.oit.va.gov/Services/TRM/ToolPage.aspx?tid=13380^","Configuration Professional Express")</f>
        <v>Configuration Professional Express</v>
      </c>
      <c r="B1774" s="4" t="s">
        <v>622</v>
      </c>
      <c r="C1774" s="8" t="s">
        <v>5</v>
      </c>
      <c r="D1774" s="11" t="s">
        <v>7691</v>
      </c>
    </row>
    <row r="1775" spans="1:4" ht="30">
      <c r="A1775" s="5" t="str">
        <f>HYPERLINK("https://www.oit.va.gov/Services/TRM/ToolPage.aspx?tid=13610^","Java Telephony Application Programming Interface (JTAPI)")</f>
        <v>Java Telephony Application Programming Interface (JTAPI)</v>
      </c>
      <c r="B1775" s="4" t="s">
        <v>622</v>
      </c>
      <c r="C1775" s="8" t="s">
        <v>5</v>
      </c>
      <c r="D1775" s="11" t="s">
        <v>7599</v>
      </c>
    </row>
    <row r="1776" spans="1:4" ht="30">
      <c r="A1776" s="5" t="str">
        <f>HYPERLINK("https://www.oit.va.gov/Services/TRM/ToolPage.aspx?tid=11416^","Network Assistant")</f>
        <v>Network Assistant</v>
      </c>
      <c r="B1776" s="4" t="s">
        <v>622</v>
      </c>
      <c r="C1776" s="8" t="s">
        <v>5</v>
      </c>
      <c r="D1776" s="11" t="s">
        <v>7272</v>
      </c>
    </row>
    <row r="1777" spans="1:4" ht="30">
      <c r="A1777" s="5" t="str">
        <f>HYPERLINK("https://www.oit.va.gov/Services/TRM/ToolPage.aspx?tid=13631^","Router and Security Device Manager (SDM)")</f>
        <v>Router and Security Device Manager (SDM)</v>
      </c>
      <c r="B1777" s="4" t="s">
        <v>622</v>
      </c>
      <c r="C1777" s="8" t="s">
        <v>5</v>
      </c>
      <c r="D1777" s="11" t="s">
        <v>6374</v>
      </c>
    </row>
    <row r="1778" spans="1:4" ht="30">
      <c r="A1778" s="5" t="str">
        <f>HYPERLINK("https://www.oit.va.gov/Services/TRM/ToolPage.aspx?tid=13396^","TelePresence Content Server")</f>
        <v>TelePresence Content Server</v>
      </c>
      <c r="B1778" s="4" t="s">
        <v>622</v>
      </c>
      <c r="C1778" s="8" t="s">
        <v>5</v>
      </c>
      <c r="D1778" s="11" t="s">
        <v>7219</v>
      </c>
    </row>
    <row r="1779" spans="1:4" ht="30">
      <c r="A1779" s="5" t="str">
        <f>HYPERLINK("https://www.oit.va.gov/Services/TRM/ToolPage.aspx?tid=13601^","Unified Meetingplace for Microsoft Outlook")</f>
        <v>Unified Meetingplace for Microsoft Outlook</v>
      </c>
      <c r="B1779" s="4" t="s">
        <v>622</v>
      </c>
      <c r="C1779" s="8" t="s">
        <v>5</v>
      </c>
      <c r="D1779" s="11" t="s">
        <v>7407</v>
      </c>
    </row>
    <row r="1780" spans="1:4" ht="30">
      <c r="A1780" s="5" t="str">
        <f>HYPERLINK("https://www.oit.va.gov/Services/TRM/ToolPage.aspx?tid=14069^","Single Sign-on (SSO)")</f>
        <v>Single Sign-on (SSO)</v>
      </c>
      <c r="B1780" s="4" t="s">
        <v>1251</v>
      </c>
      <c r="C1780" s="8" t="s">
        <v>5</v>
      </c>
      <c r="D1780" s="11" t="s">
        <v>1252</v>
      </c>
    </row>
    <row r="1781" spans="1:4" ht="30">
      <c r="A1781" s="5" t="str">
        <f>HYPERLINK("https://www.oit.va.gov/Services/TRM/ToolPage.aspx?tid=10742^","Citrix Gateway")</f>
        <v>Citrix Gateway</v>
      </c>
      <c r="B1781" s="4" t="s">
        <v>1251</v>
      </c>
      <c r="C1781" s="8" t="s">
        <v>5</v>
      </c>
      <c r="D1781" s="11" t="s">
        <v>1428</v>
      </c>
    </row>
    <row r="1782" spans="1:4" ht="30">
      <c r="A1782" s="5" t="str">
        <f>HYPERLINK("https://www.oit.va.gov/Services/TRM/ToolPage.aspx?tid=6422^","Citrix Virtual Apps and Desktops (CVAD)")</f>
        <v>Citrix Virtual Apps and Desktops (CVAD)</v>
      </c>
      <c r="B1782" s="4" t="s">
        <v>1251</v>
      </c>
      <c r="C1782" s="8" t="s">
        <v>5</v>
      </c>
      <c r="D1782" s="11" t="s">
        <v>931</v>
      </c>
    </row>
    <row r="1783" spans="1:4" ht="30">
      <c r="A1783" s="5" t="str">
        <f>HYPERLINK("https://www.oit.va.gov/Services/TRM/ToolPage.aspx?tid=14490^","Citrix Workspace")</f>
        <v>Citrix Workspace</v>
      </c>
      <c r="B1783" s="4" t="s">
        <v>1251</v>
      </c>
      <c r="C1783" s="8" t="s">
        <v>5</v>
      </c>
      <c r="D1783" s="11" t="s">
        <v>1429</v>
      </c>
    </row>
    <row r="1784" spans="1:4" ht="30">
      <c r="A1784" s="5" t="str">
        <f>HYPERLINK("https://www.oit.va.gov/Services/TRM/ToolPage.aspx?tid=6423^","Citrix Hypervisor")</f>
        <v>Citrix Hypervisor</v>
      </c>
      <c r="B1784" s="4" t="s">
        <v>1251</v>
      </c>
      <c r="C1784" s="8" t="s">
        <v>5</v>
      </c>
      <c r="D1784" s="11" t="s">
        <v>3163</v>
      </c>
    </row>
    <row r="1785" spans="1:4" ht="30">
      <c r="A1785" s="5" t="str">
        <f>HYPERLINK("https://www.oit.va.gov/Services/TRM/ToolPage.aspx?tid=5786^","Citrix XenApp")</f>
        <v>Citrix XenApp</v>
      </c>
      <c r="B1785" s="4" t="s">
        <v>1251</v>
      </c>
      <c r="C1785" s="8" t="s">
        <v>5</v>
      </c>
      <c r="D1785" s="11" t="s">
        <v>3216</v>
      </c>
    </row>
    <row r="1786" spans="1:4" ht="30">
      <c r="A1786" s="5" t="str">
        <f>HYPERLINK("https://www.oit.va.gov/Services/TRM/ToolPage.aspx?tid=14723^","Citrix Application Delivery Management (ADM)")</f>
        <v>Citrix Application Delivery Management (ADM)</v>
      </c>
      <c r="B1786" s="4" t="s">
        <v>1251</v>
      </c>
      <c r="C1786" s="8" t="s">
        <v>5</v>
      </c>
      <c r="D1786" s="11" t="s">
        <v>198</v>
      </c>
    </row>
    <row r="1787" spans="1:4" ht="30">
      <c r="A1787" s="5" t="str">
        <f>HYPERLINK("https://www.oit.va.gov/Services/TRM/ToolPage.aspx?tid=14590^","Citrix Federated Authentication Service")</f>
        <v>Citrix Federated Authentication Service</v>
      </c>
      <c r="B1787" s="4" t="s">
        <v>1251</v>
      </c>
      <c r="C1787" s="8" t="s">
        <v>5</v>
      </c>
      <c r="D1787" s="11" t="s">
        <v>3916</v>
      </c>
    </row>
    <row r="1788" spans="1:4" ht="30">
      <c r="A1788" s="5" t="str">
        <f>HYPERLINK("https://www.oit.va.gov/Services/TRM/ToolPage.aspx?tid=13576^","Citrix Profile Management")</f>
        <v>Citrix Profile Management</v>
      </c>
      <c r="B1788" s="4" t="s">
        <v>1251</v>
      </c>
      <c r="C1788" s="8" t="s">
        <v>5</v>
      </c>
      <c r="D1788" s="11" t="s">
        <v>3916</v>
      </c>
    </row>
    <row r="1789" spans="1:4" ht="30">
      <c r="A1789" s="5" t="str">
        <f>HYPERLINK("https://www.oit.va.gov/Services/TRM/ToolPage.aspx?tid=10407^","Citrix Provisioning")</f>
        <v>Citrix Provisioning</v>
      </c>
      <c r="B1789" s="4" t="s">
        <v>1251</v>
      </c>
      <c r="C1789" s="8" t="s">
        <v>5</v>
      </c>
      <c r="D1789" s="11" t="s">
        <v>3917</v>
      </c>
    </row>
    <row r="1790" spans="1:4" ht="30">
      <c r="A1790" s="5" t="str">
        <f>HYPERLINK("https://www.oit.va.gov/Services/TRM/ToolPage.aspx?tid=7978^","Citrix Receiver Clean-Up Utility")</f>
        <v>Citrix Receiver Clean-Up Utility</v>
      </c>
      <c r="B1790" s="4" t="s">
        <v>1251</v>
      </c>
      <c r="C1790" s="8" t="s">
        <v>5</v>
      </c>
      <c r="D1790" s="11" t="s">
        <v>1367</v>
      </c>
    </row>
    <row r="1791" spans="1:4" ht="30">
      <c r="A1791" s="5" t="str">
        <f>HYPERLINK("https://www.oit.va.gov/Services/TRM/ToolPage.aspx?tid=14072^","Command Center")</f>
        <v>Command Center</v>
      </c>
      <c r="B1791" s="4" t="s">
        <v>1251</v>
      </c>
      <c r="C1791" s="8" t="s">
        <v>5</v>
      </c>
      <c r="D1791" s="11" t="s">
        <v>5109</v>
      </c>
    </row>
    <row r="1792" spans="1:4" ht="30">
      <c r="A1792" s="5" t="str">
        <f>HYPERLINK("https://www.oit.va.gov/Services/TRM/ToolPage.aspx?tid=10754^","XenApp Software Development Kit (SDK)")</f>
        <v>XenApp Software Development Kit (SDK)</v>
      </c>
      <c r="B1792" s="4" t="s">
        <v>1251</v>
      </c>
      <c r="C1792" s="8" t="s">
        <v>5</v>
      </c>
      <c r="D1792" s="11" t="s">
        <v>5601</v>
      </c>
    </row>
    <row r="1793" spans="1:4" ht="30">
      <c r="A1793" s="5" t="str">
        <f>HYPERLINK("https://www.oit.va.gov/Services/TRM/ToolPage.aspx?tid=16840^","Citrix Diagnostic Facility Control (CDFControl)")</f>
        <v>Citrix Diagnostic Facility Control (CDFControl)</v>
      </c>
      <c r="B1793" s="4" t="s">
        <v>1251</v>
      </c>
      <c r="C1793" s="8" t="s">
        <v>5</v>
      </c>
      <c r="D1793" s="11" t="s">
        <v>6411</v>
      </c>
    </row>
    <row r="1794" spans="1:4" ht="30">
      <c r="A1794" s="5" t="str">
        <f>HYPERLINK("https://www.oit.va.gov/Services/TRM/ToolPage.aspx?tid=6421^","Citrix EdgeSight")</f>
        <v>Citrix EdgeSight</v>
      </c>
      <c r="B1794" s="4" t="s">
        <v>1251</v>
      </c>
      <c r="C1794" s="8" t="s">
        <v>5</v>
      </c>
      <c r="D1794" s="11" t="s">
        <v>6412</v>
      </c>
    </row>
    <row r="1795" spans="1:4" ht="30">
      <c r="A1795" s="5" t="str">
        <f>HYPERLINK("https://www.oit.va.gov/Services/TRM/ToolPage.aspx?tid=5908^","Citrix EdgeSight for Virtual Desktops Agent")</f>
        <v>Citrix EdgeSight for Virtual Desktops Agent</v>
      </c>
      <c r="B1795" s="4" t="s">
        <v>1251</v>
      </c>
      <c r="C1795" s="8" t="s">
        <v>5</v>
      </c>
      <c r="D1795" s="11" t="s">
        <v>3936</v>
      </c>
    </row>
    <row r="1796" spans="1:4" ht="30">
      <c r="A1796" s="5" t="str">
        <f>HYPERLINK("https://www.oit.va.gov/Services/TRM/ToolPage.aspx?tid=10438^","Citrix Personal vDisk")</f>
        <v>Citrix Personal vDisk</v>
      </c>
      <c r="B1796" s="4" t="s">
        <v>1251</v>
      </c>
      <c r="C1796" s="8" t="s">
        <v>5</v>
      </c>
      <c r="D1796" s="11" t="s">
        <v>6413</v>
      </c>
    </row>
    <row r="1797" spans="1:4" ht="30">
      <c r="A1797" s="5" t="str">
        <f>HYPERLINK("https://www.oit.va.gov/Services/TRM/ToolPage.aspx?tid=10439^","Citrix Receiver Windows Desktop Lock")</f>
        <v>Citrix Receiver Windows Desktop Lock</v>
      </c>
      <c r="B1797" s="4" t="s">
        <v>1251</v>
      </c>
      <c r="C1797" s="8" t="s">
        <v>5</v>
      </c>
      <c r="D1797" s="11" t="s">
        <v>2080</v>
      </c>
    </row>
    <row r="1798" spans="1:4" ht="30">
      <c r="A1798" s="5" t="str">
        <f>HYPERLINK("https://www.oit.va.gov/Services/TRM/ToolPage.aspx?tid=13579^","Citrix Web Interface")</f>
        <v>Citrix Web Interface</v>
      </c>
      <c r="B1798" s="4" t="s">
        <v>1251</v>
      </c>
      <c r="C1798" s="8" t="s">
        <v>5</v>
      </c>
      <c r="D1798" s="11" t="s">
        <v>6414</v>
      </c>
    </row>
    <row r="1799" spans="1:4" ht="30">
      <c r="A1799" s="5" t="str">
        <f>HYPERLINK("https://www.oit.va.gov/Services/TRM/ToolPage.aspx?tid=8665^","Cisco Audiotext Manager")</f>
        <v>Cisco Audiotext Manager</v>
      </c>
      <c r="B1799" s="4" t="s">
        <v>1251</v>
      </c>
      <c r="C1799" s="8" t="s">
        <v>5</v>
      </c>
      <c r="D1799" s="11" t="s">
        <v>7643</v>
      </c>
    </row>
    <row r="1800" spans="1:4" ht="30">
      <c r="A1800" s="5" t="str">
        <f>HYPERLINK("https://www.oit.va.gov/Services/TRM/ToolPage.aspx?tid=14040^","Citrix App Layering")</f>
        <v>Citrix App Layering</v>
      </c>
      <c r="B1800" s="4" t="s">
        <v>1251</v>
      </c>
      <c r="C1800" s="8" t="s">
        <v>5</v>
      </c>
      <c r="D1800" s="11" t="s">
        <v>2222</v>
      </c>
    </row>
    <row r="1801" spans="1:4" ht="30">
      <c r="A1801" s="5" t="str">
        <f>HYPERLINK("https://www.oit.va.gov/Services/TRM/ToolPage.aspx?tid=5909^","Citrix EdgeSight for XenApp Agent")</f>
        <v>Citrix EdgeSight for XenApp Agent</v>
      </c>
      <c r="B1801" s="4" t="s">
        <v>1251</v>
      </c>
      <c r="C1801" s="8" t="s">
        <v>5</v>
      </c>
      <c r="D1801" s="11" t="s">
        <v>7532</v>
      </c>
    </row>
    <row r="1802" spans="1:4" ht="30">
      <c r="A1802" s="5" t="str">
        <f>HYPERLINK("https://www.oit.va.gov/Services/TRM/ToolPage.aspx?tid=5911^","Citrix Independent Computing Architecture (ICA) Client")</f>
        <v>Citrix Independent Computing Architecture (ICA) Client</v>
      </c>
      <c r="B1802" s="4" t="s">
        <v>1251</v>
      </c>
      <c r="C1802" s="8" t="s">
        <v>5</v>
      </c>
      <c r="D1802" s="11" t="s">
        <v>6631</v>
      </c>
    </row>
    <row r="1803" spans="1:4" ht="30">
      <c r="A1803" s="5" t="str">
        <f>HYPERLINK("https://www.oit.va.gov/Services/TRM/ToolPage.aspx?tid=6463^","GoToAssist")</f>
        <v>GoToAssist</v>
      </c>
      <c r="B1803" s="4" t="s">
        <v>1251</v>
      </c>
      <c r="C1803" s="8" t="s">
        <v>5</v>
      </c>
      <c r="D1803" s="11" t="s">
        <v>7995</v>
      </c>
    </row>
    <row r="1804" spans="1:4" ht="30">
      <c r="A1804" s="5" t="str">
        <f>HYPERLINK("https://www.oit.va.gov/Services/TRM/ToolPage.aspx?tid=13520^","Active Directory (AD) Info")</f>
        <v>Active Directory (AD) Info</v>
      </c>
      <c r="B1804" s="4" t="s">
        <v>7383</v>
      </c>
      <c r="C1804" s="8" t="s">
        <v>5</v>
      </c>
      <c r="D1804" s="11" t="s">
        <v>7384</v>
      </c>
    </row>
    <row r="1805" spans="1:4" ht="30">
      <c r="A1805" s="5" t="str">
        <f>HYPERLINK("https://www.oit.va.gov/Services/TRM/ToolPage.aspx?tid=13936^","Active Directory (AD) Permissions Reporter")</f>
        <v>Active Directory (AD) Permissions Reporter</v>
      </c>
      <c r="B1805" s="4" t="s">
        <v>7383</v>
      </c>
      <c r="C1805" s="8" t="s">
        <v>5</v>
      </c>
      <c r="D1805" s="11" t="s">
        <v>7385</v>
      </c>
    </row>
    <row r="1806" spans="1:4" ht="30">
      <c r="A1806" s="5" t="str">
        <f>HYPERLINK("https://www.oit.va.gov/Services/TRM/ToolPage.aspx?tid=14489^","Active Directory (AD) Photo Edit")</f>
        <v>Active Directory (AD) Photo Edit</v>
      </c>
      <c r="B1806" s="4" t="s">
        <v>7383</v>
      </c>
      <c r="C1806" s="8" t="s">
        <v>5</v>
      </c>
      <c r="D1806" s="11" t="s">
        <v>7386</v>
      </c>
    </row>
    <row r="1807" spans="1:4" ht="30">
      <c r="A1807" s="5" t="str">
        <f>HYPERLINK("https://www.oit.va.gov/Services/TRM/ToolPage.aspx?tid=13711^","Get Local Admins Graphical User Interface (GUI)")</f>
        <v>Get Local Admins Graphical User Interface (GUI)</v>
      </c>
      <c r="B1807" s="4" t="s">
        <v>7383</v>
      </c>
      <c r="C1807" s="8" t="s">
        <v>5</v>
      </c>
      <c r="D1807" s="11" t="s">
        <v>7855</v>
      </c>
    </row>
    <row r="1808" spans="1:4" ht="30">
      <c r="A1808" s="5" t="str">
        <f>HYPERLINK("https://www.oit.va.gov/Services/TRM/ToolPage.aspx?tid=13532^","New Technology File System (NTFS) Permissions Reporter")</f>
        <v>New Technology File System (NTFS) Permissions Reporter</v>
      </c>
      <c r="B1808" s="4" t="s">
        <v>7383</v>
      </c>
      <c r="C1808" s="8" t="s">
        <v>5</v>
      </c>
      <c r="D1808" s="11" t="s">
        <v>8334</v>
      </c>
    </row>
    <row r="1809" spans="1:4" ht="30">
      <c r="A1809" s="5" t="str">
        <f>HYPERLINK("https://www.oit.va.gov/Services/TRM/ToolPage.aspx?tid=14564^","Fast Software Audit")</f>
        <v>Fast Software Audit</v>
      </c>
      <c r="B1809" s="4" t="s">
        <v>7914</v>
      </c>
      <c r="C1809" s="8" t="s">
        <v>5</v>
      </c>
      <c r="D1809" s="11" t="s">
        <v>7915</v>
      </c>
    </row>
    <row r="1810" spans="1:4" ht="30">
      <c r="A1810" s="5" t="str">
        <f>HYPERLINK("https://www.oit.va.gov/Services/TRM/ToolPage.aspx?tid=7042^","Comprehensive Knowledge Archive Network (CKAN)")</f>
        <v>Comprehensive Knowledge Archive Network (CKAN)</v>
      </c>
      <c r="B1810" s="4" t="s">
        <v>3957</v>
      </c>
      <c r="C1810" s="8" t="s">
        <v>5</v>
      </c>
      <c r="D1810" s="11" t="s">
        <v>3958</v>
      </c>
    </row>
    <row r="1811" spans="1:4" ht="30">
      <c r="A1811" s="5" t="str">
        <f>HYPERLINK("https://www.oit.va.gov/Services/TRM/ToolPage.aspx?tid=11278^","CKEditor Module of Drupal Core")</f>
        <v>CKEditor Module of Drupal Core</v>
      </c>
      <c r="B1811" s="4" t="s">
        <v>2099</v>
      </c>
      <c r="C1811" s="8" t="s">
        <v>5</v>
      </c>
      <c r="D1811" s="11" t="s">
        <v>2100</v>
      </c>
    </row>
    <row r="1812" spans="1:4" ht="30">
      <c r="A1812" s="5" t="str">
        <f>HYPERLINK("https://www.oit.va.gov/Services/TRM/ToolPage.aspx?tid=8831^","CKEditor")</f>
        <v>CKEditor</v>
      </c>
      <c r="B1812" s="4" t="s">
        <v>2099</v>
      </c>
      <c r="C1812" s="8" t="s">
        <v>5</v>
      </c>
      <c r="D1812" s="11" t="s">
        <v>3207</v>
      </c>
    </row>
    <row r="1813" spans="1:4" ht="30">
      <c r="A1813" s="5" t="str">
        <f>HYPERLINK("https://www.oit.va.gov/Services/TRM/ToolPage.aspx?tid=15469^","MacKeeper")</f>
        <v>MacKeeper</v>
      </c>
      <c r="B1813" s="4" t="s">
        <v>8201</v>
      </c>
      <c r="C1813" s="8" t="s">
        <v>5</v>
      </c>
      <c r="D1813" s="11" t="s">
        <v>8202</v>
      </c>
    </row>
    <row r="1814" spans="1:4" ht="30">
      <c r="A1814" s="5" t="str">
        <f>HYPERLINK("https://www.oit.va.gov/Services/TRM/ToolPage.aspx?tid=16515^","FileMaker Pro")</f>
        <v>FileMaker Pro</v>
      </c>
      <c r="B1814" s="4" t="s">
        <v>2590</v>
      </c>
      <c r="C1814" s="8" t="s">
        <v>5</v>
      </c>
      <c r="D1814" s="11" t="s">
        <v>2591</v>
      </c>
    </row>
    <row r="1815" spans="1:4" ht="30">
      <c r="A1815" s="5" t="str">
        <f>HYPERLINK("https://www.oit.va.gov/Services/TRM/ToolPage.aspx?tid=5966^","EndNote")</f>
        <v>EndNote</v>
      </c>
      <c r="B1815" s="4" t="s">
        <v>675</v>
      </c>
      <c r="C1815" s="8" t="s">
        <v>5</v>
      </c>
      <c r="D1815" s="11" t="s">
        <v>676</v>
      </c>
    </row>
    <row r="1816" spans="1:4" ht="30">
      <c r="A1816" s="5" t="str">
        <f>HYPERLINK("https://www.oit.va.gov/Services/TRM/ToolPage.aspx?tid=14321^","EndNote Click")</f>
        <v>EndNote Click</v>
      </c>
      <c r="B1816" s="4" t="s">
        <v>675</v>
      </c>
      <c r="C1816" s="8" t="s">
        <v>5</v>
      </c>
      <c r="D1816" s="11" t="s">
        <v>6575</v>
      </c>
    </row>
    <row r="1817" spans="1:4" ht="30">
      <c r="A1817" s="5" t="str">
        <f>HYPERLINK("https://www.oit.va.gov/Services/TRM/ToolPage.aspx?tid=6392^","SelectSurvey.NET")</f>
        <v>SelectSurvey.NET</v>
      </c>
      <c r="B1817" s="4" t="s">
        <v>537</v>
      </c>
      <c r="C1817" s="8" t="s">
        <v>5</v>
      </c>
      <c r="D1817" s="11" t="s">
        <v>536</v>
      </c>
    </row>
    <row r="1818" spans="1:4" ht="30">
      <c r="A1818" s="5" t="str">
        <f>HYPERLINK("https://www.oit.va.gov/Services/TRM/ToolPage.aspx?tid=16336^","CleanRobotics Trashbot")</f>
        <v>CleanRobotics Trashbot</v>
      </c>
      <c r="B1818" s="4" t="s">
        <v>5710</v>
      </c>
      <c r="C1818" s="8" t="s">
        <v>5</v>
      </c>
      <c r="D1818" s="11" t="s">
        <v>3914</v>
      </c>
    </row>
    <row r="1819" spans="1:4" ht="30">
      <c r="A1819" s="5" t="str">
        <f>HYPERLINK("https://www.oit.va.gov/Services/TRM/ToolPage.aspx?tid=13848^","Network Inventory Advisor")</f>
        <v>Network Inventory Advisor</v>
      </c>
      <c r="B1819" s="4" t="s">
        <v>5964</v>
      </c>
      <c r="C1819" s="8" t="s">
        <v>5</v>
      </c>
      <c r="D1819" s="11" t="s">
        <v>5965</v>
      </c>
    </row>
    <row r="1820" spans="1:4" ht="30">
      <c r="A1820" s="5" t="str">
        <f>HYPERLINK("https://www.oit.va.gov/Services/TRM/ToolPage.aspx?tid=13339^","ClearContext")</f>
        <v>ClearContext</v>
      </c>
      <c r="B1820" s="4" t="s">
        <v>7656</v>
      </c>
      <c r="C1820" s="8" t="s">
        <v>5</v>
      </c>
      <c r="D1820" s="11" t="s">
        <v>5154</v>
      </c>
    </row>
    <row r="1821" spans="1:4" ht="30">
      <c r="A1821" s="5" t="str">
        <f>HYPERLINK("https://www.oit.va.gov/Services/TRM/ToolPage.aspx?tid=11277^","Converge Pro 2 Console")</f>
        <v>Converge Pro 2 Console</v>
      </c>
      <c r="B1821" s="4" t="s">
        <v>6458</v>
      </c>
      <c r="C1821" s="8" t="s">
        <v>5</v>
      </c>
      <c r="D1821" s="11" t="s">
        <v>5042</v>
      </c>
    </row>
    <row r="1822" spans="1:4" ht="30">
      <c r="A1822" s="5" t="str">
        <f>HYPERLINK("https://www.oit.va.gov/Services/TRM/ToolPage.aspx?tid=10110^","ClearOne Dialog 20 2-Channel Wireless Microphone System Software")</f>
        <v>ClearOne Dialog 20 2-Channel Wireless Microphone System Software</v>
      </c>
      <c r="B1822" s="4" t="s">
        <v>6458</v>
      </c>
      <c r="C1822" s="8" t="s">
        <v>5</v>
      </c>
      <c r="D1822" s="11" t="s">
        <v>2415</v>
      </c>
    </row>
    <row r="1823" spans="1:4" ht="30">
      <c r="A1823" s="5" t="str">
        <f>HYPERLINK("https://www.oit.va.gov/Services/TRM/ToolPage.aspx?tid=13425^","Clementine Music Player")</f>
        <v>Clementine Music Player</v>
      </c>
      <c r="B1823" s="4" t="s">
        <v>7657</v>
      </c>
      <c r="C1823" s="8" t="s">
        <v>5</v>
      </c>
      <c r="D1823" s="11" t="s">
        <v>7658</v>
      </c>
    </row>
    <row r="1824" spans="1:4" ht="30">
      <c r="A1824" s="5" t="str">
        <f>HYPERLINK("https://www.oit.va.gov/Services/TRM/ToolPage.aspx?tid=9279^","Cleo Harmony")</f>
        <v>Cleo Harmony</v>
      </c>
      <c r="B1824" s="4" t="s">
        <v>624</v>
      </c>
      <c r="C1824" s="8" t="s">
        <v>5</v>
      </c>
      <c r="D1824" s="11" t="s">
        <v>625</v>
      </c>
    </row>
    <row r="1825" spans="1:4" ht="30">
      <c r="A1825" s="5" t="str">
        <f>HYPERLINK("https://www.oit.va.gov/Services/TRM/ToolPage.aspx?tid=15643^","Cleo Clarify")</f>
        <v>Cleo Clarify</v>
      </c>
      <c r="B1825" s="4" t="s">
        <v>624</v>
      </c>
      <c r="C1825" s="8" t="s">
        <v>5</v>
      </c>
      <c r="D1825" s="11" t="s">
        <v>1431</v>
      </c>
    </row>
    <row r="1826" spans="1:4" ht="30">
      <c r="A1826" s="5" t="str">
        <f>HYPERLINK("https://www.oit.va.gov/Services/TRM/ToolPage.aspx?tid=6149^","Streem")</f>
        <v>Streem</v>
      </c>
      <c r="B1826" s="4" t="s">
        <v>624</v>
      </c>
      <c r="C1826" s="8" t="s">
        <v>5</v>
      </c>
      <c r="D1826" s="11" t="s">
        <v>1962</v>
      </c>
    </row>
    <row r="1827" spans="1:4" ht="30">
      <c r="A1827" s="5" t="str">
        <f>HYPERLINK("https://www.oit.va.gov/Services/TRM/ToolPage.aspx?tid=7207^","VLTrader")</f>
        <v>VLTrader</v>
      </c>
      <c r="B1827" s="4" t="s">
        <v>624</v>
      </c>
      <c r="C1827" s="8" t="s">
        <v>5</v>
      </c>
      <c r="D1827" s="11" t="s">
        <v>1638</v>
      </c>
    </row>
    <row r="1828" spans="1:4" ht="30">
      <c r="A1828" s="5" t="str">
        <f>HYPERLINK("https://www.oit.va.gov/Services/TRM/ToolPage.aspx?tid=14221^","Streem Print")</f>
        <v>Streem Print</v>
      </c>
      <c r="B1828" s="4" t="s">
        <v>624</v>
      </c>
      <c r="C1828" s="8" t="s">
        <v>5</v>
      </c>
      <c r="D1828" s="11" t="s">
        <v>4862</v>
      </c>
    </row>
    <row r="1829" spans="1:4" ht="30">
      <c r="A1829" s="5" t="str">
        <f>HYPERLINK("https://www.oit.va.gov/Services/TRM/ToolPage.aspx?tid=15411^","ClickLearn")</f>
        <v>ClickLearn</v>
      </c>
      <c r="B1829" s="4" t="s">
        <v>5712</v>
      </c>
      <c r="C1829" s="8" t="s">
        <v>5</v>
      </c>
      <c r="D1829" s="11" t="s">
        <v>3317</v>
      </c>
    </row>
    <row r="1830" spans="1:4" ht="30">
      <c r="A1830" s="5" t="str">
        <f>HYPERLINK("https://www.oit.va.gov/Services/TRM/ToolPage.aspx?tid=10043^","PowerPoint vote (ppvote)")</f>
        <v>PowerPoint vote (ppvote)</v>
      </c>
      <c r="B1830" s="4" t="s">
        <v>5437</v>
      </c>
      <c r="C1830" s="8" t="s">
        <v>5</v>
      </c>
      <c r="D1830" s="11" t="s">
        <v>5438</v>
      </c>
    </row>
    <row r="1831" spans="1:4" ht="30">
      <c r="A1831" s="5" t="str">
        <f>HYPERLINK("https://www.oit.va.gov/Services/TRM/ToolPage.aspx?tid=16250^","Symedical")</f>
        <v>Symedical</v>
      </c>
      <c r="B1831" s="4" t="s">
        <v>3009</v>
      </c>
      <c r="C1831" s="8" t="s">
        <v>5</v>
      </c>
      <c r="D1831" s="11" t="s">
        <v>3010</v>
      </c>
    </row>
    <row r="1832" spans="1:4" ht="30">
      <c r="A1832" s="5" t="str">
        <f>HYPERLINK("https://www.oit.va.gov/Services/TRM/ToolPage.aspx?tid=9432^","Clinical Outcomes Reporting Informatics (CORI2)")</f>
        <v>Clinical Outcomes Reporting Informatics (CORI2)</v>
      </c>
      <c r="B1832" s="4" t="s">
        <v>3925</v>
      </c>
      <c r="C1832" s="8" t="s">
        <v>5</v>
      </c>
      <c r="D1832" s="11" t="s">
        <v>3926</v>
      </c>
    </row>
    <row r="1833" spans="1:4" ht="30">
      <c r="A1833" s="5" t="str">
        <f>HYPERLINK("https://www.oit.va.gov/Services/TRM/ToolPage.aspx?tid=11771^","Clinical Outcomes Research Initiative (CORI) Endoscopic Reporting Software")</f>
        <v>Clinical Outcomes Research Initiative (CORI) Endoscopic Reporting Software</v>
      </c>
      <c r="B1833" s="4" t="s">
        <v>3925</v>
      </c>
      <c r="C1833" s="8" t="s">
        <v>5</v>
      </c>
      <c r="D1833" s="11" t="s">
        <v>7661</v>
      </c>
    </row>
    <row r="1834" spans="1:4" ht="30">
      <c r="A1834" s="5" t="str">
        <f>HYPERLINK("https://www.oit.va.gov/Services/TRM/ToolPage.aspx?tid=15291^","Beam_F3 Locator")</f>
        <v>Beam_F3 Locator</v>
      </c>
      <c r="B1834" s="4" t="s">
        <v>7540</v>
      </c>
      <c r="C1834" s="8" t="s">
        <v>5</v>
      </c>
      <c r="D1834" s="11" t="s">
        <v>7541</v>
      </c>
    </row>
    <row r="1835" spans="1:4" ht="30">
      <c r="A1835" s="5" t="str">
        <f>HYPERLINK("https://www.oit.va.gov/Services/TRM/ToolPage.aspx?tid=7764^","CliniComp")</f>
        <v>CliniComp</v>
      </c>
      <c r="B1835" s="4" t="s">
        <v>5713</v>
      </c>
      <c r="C1835" s="8" t="s">
        <v>5</v>
      </c>
      <c r="D1835" s="11" t="s">
        <v>5714</v>
      </c>
    </row>
    <row r="1836" spans="1:4" ht="30">
      <c r="A1836" s="5" t="str">
        <f>HYPERLINK("https://www.oit.va.gov/Services/TRM/ToolPage.aspx?tid=7429^","AccelFind")</f>
        <v>AccelFind</v>
      </c>
      <c r="B1836" s="4" t="s">
        <v>1260</v>
      </c>
      <c r="C1836" s="8" t="s">
        <v>5</v>
      </c>
      <c r="D1836" s="11" t="s">
        <v>1261</v>
      </c>
    </row>
    <row r="1837" spans="1:4" ht="30">
      <c r="A1837" s="5" t="str">
        <f>HYPERLINK("https://www.oit.va.gov/Services/TRM/ToolPage.aspx?tid=13498^","ClipGrab")</f>
        <v>ClipGrab</v>
      </c>
      <c r="B1837" s="4" t="s">
        <v>7662</v>
      </c>
      <c r="C1837" s="8" t="s">
        <v>5</v>
      </c>
      <c r="D1837" s="11" t="s">
        <v>7663</v>
      </c>
    </row>
    <row r="1838" spans="1:4" ht="30">
      <c r="A1838" s="5" t="str">
        <f>HYPERLINK("https://www.oit.va.gov/Services/TRM/ToolPage.aspx?tid=16073^","Clockspring")</f>
        <v>Clockspring</v>
      </c>
      <c r="B1838" s="4" t="s">
        <v>2465</v>
      </c>
      <c r="C1838" s="8" t="s">
        <v>5</v>
      </c>
      <c r="D1838" s="11" t="s">
        <v>2466</v>
      </c>
    </row>
    <row r="1839" spans="1:4" ht="30">
      <c r="A1839" s="5" t="str">
        <f>HYPERLINK("https://www.oit.va.gov/Services/TRM/ToolPage.aspx?tid=15678^","Clonezilla")</f>
        <v>Clonezilla</v>
      </c>
      <c r="B1839" s="4" t="s">
        <v>6423</v>
      </c>
      <c r="C1839" s="8" t="s">
        <v>5</v>
      </c>
      <c r="D1839" s="11" t="s">
        <v>6424</v>
      </c>
    </row>
    <row r="1840" spans="1:4" ht="30">
      <c r="A1840" s="5" t="str">
        <f>HYPERLINK("https://www.oit.va.gov/Services/TRM/ToolPage.aspx?tid=15755^","Cloud Foundry Command Line Interface (CLI)")</f>
        <v>Cloud Foundry Command Line Interface (CLI)</v>
      </c>
      <c r="B1840" s="4" t="s">
        <v>6425</v>
      </c>
      <c r="C1840" s="8" t="s">
        <v>5</v>
      </c>
      <c r="D1840" s="11" t="s">
        <v>6426</v>
      </c>
    </row>
    <row r="1841" spans="1:4" ht="30">
      <c r="A1841" s="5" t="str">
        <f>HYPERLINK("https://www.oit.va.gov/Services/TRM/ToolPage.aspx?tid=16569^","Cloud Maker Enterprise Server Solution")</f>
        <v>Cloud Maker Enterprise Server Solution</v>
      </c>
      <c r="B1841" s="4" t="s">
        <v>3929</v>
      </c>
      <c r="C1841" s="8" t="s">
        <v>5</v>
      </c>
      <c r="D1841" s="11" t="s">
        <v>3930</v>
      </c>
    </row>
    <row r="1842" spans="1:4" ht="30">
      <c r="A1842" s="5" t="str">
        <f>HYPERLINK("https://www.oit.va.gov/Services/TRM/ToolPage.aspx?tid=14767^","Helm")</f>
        <v>Helm</v>
      </c>
      <c r="B1842" s="4" t="s">
        <v>4220</v>
      </c>
      <c r="C1842" s="8" t="s">
        <v>5</v>
      </c>
      <c r="D1842" s="11" t="s">
        <v>4221</v>
      </c>
    </row>
    <row r="1843" spans="1:4" ht="30">
      <c r="A1843" s="5" t="str">
        <f>HYPERLINK("https://www.oit.va.gov/Services/TRM/ToolPage.aspx?tid=9220^","CloudBees Core")</f>
        <v>CloudBees Core</v>
      </c>
      <c r="B1843" s="4" t="s">
        <v>3931</v>
      </c>
      <c r="C1843" s="8" t="s">
        <v>5</v>
      </c>
      <c r="D1843" s="11" t="s">
        <v>3932</v>
      </c>
    </row>
    <row r="1844" spans="1:4" ht="30">
      <c r="A1844" s="5" t="str">
        <f>HYPERLINK("https://www.oit.va.gov/Services/TRM/ToolPage.aspx?tid=16297^","Cloudera Flow Management (CFM)")</f>
        <v>Cloudera Flow Management (CFM)</v>
      </c>
      <c r="B1844" s="4" t="s">
        <v>1435</v>
      </c>
      <c r="C1844" s="8" t="s">
        <v>5</v>
      </c>
      <c r="D1844" s="11" t="s">
        <v>1436</v>
      </c>
    </row>
    <row r="1845" spans="1:4" ht="30">
      <c r="A1845" s="5" t="str">
        <f>HYPERLINK("https://www.oit.va.gov/Services/TRM/ToolPage.aspx?tid=7665^","Hortonworks Data Platform (HDP)")</f>
        <v>Hortonworks Data Platform (HDP)</v>
      </c>
      <c r="B1845" s="4" t="s">
        <v>1435</v>
      </c>
      <c r="C1845" s="8" t="s">
        <v>5</v>
      </c>
      <c r="D1845" s="11" t="s">
        <v>2644</v>
      </c>
    </row>
    <row r="1846" spans="1:4" ht="30">
      <c r="A1846" s="5" t="str">
        <f>HYPERLINK("https://www.oit.va.gov/Services/TRM/ToolPage.aspx?tid=14612^","Cloudera DataFlow (CDF)")</f>
        <v>Cloudera DataFlow (CDF)</v>
      </c>
      <c r="B1846" s="4" t="s">
        <v>1435</v>
      </c>
      <c r="C1846" s="8" t="s">
        <v>5</v>
      </c>
      <c r="D1846" s="11" t="s">
        <v>2104</v>
      </c>
    </row>
    <row r="1847" spans="1:4" ht="30">
      <c r="A1847" s="5" t="str">
        <f>HYPERLINK("https://www.oit.va.gov/Services/TRM/ToolPage.aspx?tid=16828^","Cloudflare Turnstile")</f>
        <v>Cloudflare Turnstile</v>
      </c>
      <c r="B1847" s="4" t="s">
        <v>949</v>
      </c>
      <c r="C1847" s="8" t="s">
        <v>5</v>
      </c>
      <c r="D1847" s="11" t="s">
        <v>772</v>
      </c>
    </row>
    <row r="1848" spans="1:4" ht="30">
      <c r="A1848" s="5" t="str">
        <f>HYPERLINK("https://www.oit.va.gov/Services/TRM/ToolPage.aspx?tid=14648^","Cmder")</f>
        <v>Cmder</v>
      </c>
      <c r="B1848" s="4" t="s">
        <v>6430</v>
      </c>
      <c r="C1848" s="8" t="s">
        <v>5</v>
      </c>
      <c r="D1848" s="11" t="s">
        <v>6431</v>
      </c>
    </row>
    <row r="1849" spans="1:4" ht="30">
      <c r="A1849" s="5" t="str">
        <f>HYPERLINK("https://www.oit.va.gov/Services/TRM/ToolPage.aspx?tid=13605^","Visual3D")</f>
        <v>Visual3D</v>
      </c>
      <c r="B1849" s="4" t="s">
        <v>6145</v>
      </c>
      <c r="C1849" s="8" t="s">
        <v>5</v>
      </c>
      <c r="D1849" s="11" t="s">
        <v>5195</v>
      </c>
    </row>
    <row r="1850" spans="1:4" ht="30">
      <c r="A1850" s="5" t="str">
        <f>HYPERLINK("https://www.oit.va.gov/Services/TRM/ToolPage.aspx?tid=12839^","Integrated Outpatient Code Editor (I/OCE)")</f>
        <v>Integrated Outpatient Code Editor (I/OCE)</v>
      </c>
      <c r="B1850" s="4" t="s">
        <v>4266</v>
      </c>
      <c r="C1850" s="8" t="s">
        <v>5</v>
      </c>
      <c r="D1850" s="11" t="s">
        <v>714</v>
      </c>
    </row>
    <row r="1851" spans="1:4" ht="30">
      <c r="A1851" s="5" t="str">
        <f>HYPERLINK("https://www.oit.va.gov/Services/TRM/ToolPage.aspx?tid=7111^","Medicare Severity-Diagnosis Related Group (MS-DRG)")</f>
        <v>Medicare Severity-Diagnosis Related Group (MS-DRG)</v>
      </c>
      <c r="B1851" s="4" t="s">
        <v>4266</v>
      </c>
      <c r="C1851" s="8" t="s">
        <v>5</v>
      </c>
      <c r="D1851" s="11" t="s">
        <v>4398</v>
      </c>
    </row>
    <row r="1852" spans="1:4" ht="30">
      <c r="A1852" s="5" t="str">
        <f>HYPERLINK("https://www.oit.va.gov/Services/TRM/StandardPage.aspx?tid=5218^","Diagnosis-Related Group (DRG)")</f>
        <v>Diagnosis-Related Group (DRG)</v>
      </c>
      <c r="B1852" s="4" t="s">
        <v>4266</v>
      </c>
      <c r="C1852" s="8" t="s">
        <v>5</v>
      </c>
      <c r="D1852" s="11" t="s">
        <v>5140</v>
      </c>
    </row>
    <row r="1853" spans="1:4" ht="30">
      <c r="A1853" s="5" t="str">
        <f>HYPERLINK("https://www.oit.va.gov/Services/TRM/ToolPage.aspx?tid=6700^","Inpatient Psychiatric Facility (IPF) Prospective Payment System (PPS) Personal Computer (PC) Pricer")</f>
        <v>Inpatient Psychiatric Facility (IPF) Prospective Payment System (PPS) Personal Computer (PC) Pricer</v>
      </c>
      <c r="B1853" s="4" t="s">
        <v>4266</v>
      </c>
      <c r="C1853" s="8" t="s">
        <v>5</v>
      </c>
      <c r="D1853" s="11" t="s">
        <v>6715</v>
      </c>
    </row>
    <row r="1854" spans="1:4" ht="30">
      <c r="A1854" s="5" t="str">
        <f>HYPERLINK("https://www.oit.va.gov/Services/TRM/ToolPage.aspx?tid=7103^","jHAVEN")</f>
        <v>jHAVEN</v>
      </c>
      <c r="B1854" s="4" t="s">
        <v>4266</v>
      </c>
      <c r="C1854" s="8" t="s">
        <v>5</v>
      </c>
      <c r="D1854" s="11" t="s">
        <v>6749</v>
      </c>
    </row>
    <row r="1855" spans="1:4" ht="30">
      <c r="A1855" s="5" t="str">
        <f>HYPERLINK("https://www.oit.va.gov/Services/TRM/StandardPage.aspx?tid=5224^","Healthcare Common Procedure Coding System (HCPCS)")</f>
        <v>Healthcare Common Procedure Coding System (HCPCS)</v>
      </c>
      <c r="B1855" s="4" t="s">
        <v>4266</v>
      </c>
      <c r="C1855" s="8" t="s">
        <v>5</v>
      </c>
      <c r="D1855" s="11" t="s">
        <v>694</v>
      </c>
    </row>
    <row r="1856" spans="1:4" ht="30">
      <c r="A1856" s="5" t="str">
        <f>HYPERLINK("https://www.oit.va.gov/Services/TRM/StandardPage.aspx?tid=9529^","International Classification of Diseases, 10th Revision, Procedure Coding System (ICD-10-PCS)")</f>
        <v>International Classification of Diseases, 10th Revision, Procedure Coding System (ICD-10-PCS)</v>
      </c>
      <c r="B1856" s="4" t="s">
        <v>4266</v>
      </c>
      <c r="C1856" s="8" t="s">
        <v>5</v>
      </c>
      <c r="D1856" s="11" t="s">
        <v>3596</v>
      </c>
    </row>
    <row r="1857" spans="1:4" ht="30">
      <c r="A1857" s="5" t="str">
        <f>HYPERLINK("https://www.oit.va.gov/Services/TRM/ToolPage.aspx?tid=15090^","Central Nervous System Vital Signs (CNSVS)")</f>
        <v>Central Nervous System Vital Signs (CNSVS)</v>
      </c>
      <c r="B1857" s="4" t="s">
        <v>5699</v>
      </c>
      <c r="C1857" s="8" t="s">
        <v>5</v>
      </c>
      <c r="D1857" s="11" t="s">
        <v>5700</v>
      </c>
    </row>
    <row r="1858" spans="1:4" ht="30">
      <c r="A1858" s="5" t="str">
        <f>HYPERLINK("https://www.oit.va.gov/Services/TRM/ToolPage.aspx?tid=11708^","Claims Administration and Management System (eCAMS) HealthBeat")</f>
        <v>Claims Administration and Management System (eCAMS) HealthBeat</v>
      </c>
      <c r="B1858" s="4" t="s">
        <v>5707</v>
      </c>
      <c r="C1858" s="8" t="s">
        <v>5</v>
      </c>
      <c r="D1858" s="11" t="s">
        <v>5708</v>
      </c>
    </row>
    <row r="1859" spans="1:4" ht="30">
      <c r="A1859" s="5" t="str">
        <f>HYPERLINK("https://www.oit.va.gov/Services/TRM/ToolPage.aspx?tid=15909^","Complete ControlRoom")</f>
        <v>Complete ControlRoom</v>
      </c>
      <c r="B1859" s="4" t="s">
        <v>3955</v>
      </c>
      <c r="C1859" s="8" t="s">
        <v>5</v>
      </c>
      <c r="D1859" s="11" t="s">
        <v>2820</v>
      </c>
    </row>
    <row r="1860" spans="1:4" ht="30">
      <c r="A1860" s="5" t="str">
        <f>HYPERLINK("https://www.oit.va.gov/Services/TRM/ToolPage.aspx?tid=8832^","Cobbler")</f>
        <v>Cobbler</v>
      </c>
      <c r="B1860" s="4" t="s">
        <v>6434</v>
      </c>
      <c r="C1860" s="8" t="s">
        <v>5</v>
      </c>
      <c r="D1860" s="11" t="s">
        <v>6435</v>
      </c>
    </row>
    <row r="1861" spans="1:4" ht="30">
      <c r="A1861" s="5" t="str">
        <f>HYPERLINK("https://www.oit.va.gov/Services/TRM/ToolPage.aspx?tid=8599^","COBOL-IT Compiler Suite Enterprise Edition")</f>
        <v>COBOL-IT Compiler Suite Enterprise Edition</v>
      </c>
      <c r="B1861" s="4" t="s">
        <v>1440</v>
      </c>
      <c r="C1861" s="8" t="s">
        <v>5</v>
      </c>
      <c r="D1861" s="11" t="s">
        <v>410</v>
      </c>
    </row>
    <row r="1862" spans="1:4" ht="30">
      <c r="A1862" s="5" t="str">
        <f>HYPERLINK("https://www.oit.va.gov/Services/TRM/ToolPage.aspx?tid=14429^","VnM4 Pro SignMaker")</f>
        <v>VnM4 Pro SignMaker</v>
      </c>
      <c r="B1862" s="4" t="s">
        <v>1124</v>
      </c>
      <c r="C1862" s="8" t="s">
        <v>5</v>
      </c>
      <c r="D1862" s="11" t="s">
        <v>273</v>
      </c>
    </row>
    <row r="1863" spans="1:4" ht="30">
      <c r="A1863" s="5" t="str">
        <f>HYPERLINK("https://www.oit.va.gov/Services/TRM/ToolPage.aspx?tid=9478^","Baha Fitting Software (BFS)")</f>
        <v>Baha Fitting Software (BFS)</v>
      </c>
      <c r="B1863" s="4" t="s">
        <v>1349</v>
      </c>
      <c r="C1863" s="8" t="s">
        <v>5</v>
      </c>
      <c r="D1863" s="11" t="s">
        <v>1350</v>
      </c>
    </row>
    <row r="1864" spans="1:4" ht="30">
      <c r="A1864" s="5" t="str">
        <f>HYPERLINK("https://www.oit.va.gov/Services/TRM/ToolPage.aspx?tid=14928^","Cochlear Osia Fitting Software")</f>
        <v>Cochlear Osia Fitting Software</v>
      </c>
      <c r="B1864" s="4" t="s">
        <v>1349</v>
      </c>
      <c r="C1864" s="8" t="s">
        <v>5</v>
      </c>
      <c r="D1864" s="11" t="s">
        <v>1441</v>
      </c>
    </row>
    <row r="1865" spans="1:4" ht="30">
      <c r="A1865" s="5" t="str">
        <f>HYPERLINK("https://www.oit.va.gov/Services/TRM/ToolPage.aspx?tid=8018^","Custom Sound Pro")</f>
        <v>Custom Sound Pro</v>
      </c>
      <c r="B1865" s="4" t="s">
        <v>1349</v>
      </c>
      <c r="C1865" s="8" t="s">
        <v>5</v>
      </c>
      <c r="D1865" s="11" t="s">
        <v>3990</v>
      </c>
    </row>
    <row r="1866" spans="1:4" ht="30">
      <c r="A1866" s="5" t="str">
        <f>HYPERLINK("https://www.oit.va.gov/Services/TRM/ToolPage.aspx?tid=16474^","Custom Sound EP")</f>
        <v>Custom Sound EP</v>
      </c>
      <c r="B1866" s="4" t="s">
        <v>1349</v>
      </c>
      <c r="C1866" s="8" t="s">
        <v>5</v>
      </c>
      <c r="D1866" s="11" t="s">
        <v>299</v>
      </c>
    </row>
    <row r="1867" spans="1:4" ht="30">
      <c r="A1867" s="5" t="str">
        <f>HYPERLINK("https://www.oit.va.gov/Services/TRM/ToolPage.aspx?tid=7972^","Review Manager (RevMan) Web (RMW)")</f>
        <v>Review Manager (RevMan) Web (RMW)</v>
      </c>
      <c r="B1867" s="4" t="s">
        <v>1896</v>
      </c>
      <c r="C1867" s="8" t="s">
        <v>5</v>
      </c>
      <c r="D1867" s="11" t="s">
        <v>431</v>
      </c>
    </row>
    <row r="1868" spans="1:4" ht="30">
      <c r="A1868" s="5" t="str">
        <f>HYPERLINK("https://www.oit.va.gov/Services/TRM/ToolPage.aspx?tid=13448^","REAPER")</f>
        <v>REAPER</v>
      </c>
      <c r="B1868" s="4" t="s">
        <v>6032</v>
      </c>
      <c r="C1868" s="8" t="s">
        <v>5</v>
      </c>
      <c r="D1868" s="11" t="s">
        <v>1911</v>
      </c>
    </row>
    <row r="1869" spans="1:4" ht="30">
      <c r="A1869" s="5" t="str">
        <f>HYPERLINK("https://www.oit.va.gov/Services/TRM/ToolPage.aspx?tid=16668^","Cockpit")</f>
        <v>Cockpit</v>
      </c>
      <c r="B1869" s="4" t="s">
        <v>1442</v>
      </c>
      <c r="C1869" s="8" t="s">
        <v>5</v>
      </c>
      <c r="D1869" s="11" t="s">
        <v>1443</v>
      </c>
    </row>
    <row r="1870" spans="1:4" ht="30">
      <c r="A1870" s="5" t="str">
        <f>HYPERLINK("https://www.oit.va.gov/Services/TRM/ToolPage.aspx?tid=15562^","Cockroach Database (CockroachDB)")</f>
        <v>Cockroach Database (CockroachDB)</v>
      </c>
      <c r="B1870" s="4" t="s">
        <v>2470</v>
      </c>
      <c r="C1870" s="8" t="s">
        <v>5</v>
      </c>
      <c r="D1870" s="11" t="s">
        <v>2471</v>
      </c>
    </row>
    <row r="1871" spans="1:4" ht="30">
      <c r="A1871" s="5" t="str">
        <f>HYPERLINK("https://www.oit.va.gov/Services/TRM/ToolPage.aspx?tid=10147^","BatchPatch")</f>
        <v>BatchPatch</v>
      </c>
      <c r="B1871" s="4" t="s">
        <v>7537</v>
      </c>
      <c r="C1871" s="8" t="s">
        <v>5</v>
      </c>
      <c r="D1871" s="11" t="s">
        <v>3513</v>
      </c>
    </row>
    <row r="1872" spans="1:4" ht="30">
      <c r="A1872" s="5" t="str">
        <f>HYPERLINK("https://www.oit.va.gov/Services/TRM/ToolPage.aspx?tid=15773^","Codan Virtual Control Point (VCP)")</f>
        <v>Codan Virtual Control Point (VCP)</v>
      </c>
      <c r="B1872" s="4" t="s">
        <v>7666</v>
      </c>
      <c r="C1872" s="8" t="s">
        <v>5</v>
      </c>
      <c r="D1872" s="11" t="s">
        <v>7667</v>
      </c>
    </row>
    <row r="1873" spans="1:4" ht="30">
      <c r="A1873" s="5" t="str">
        <f>HYPERLINK("https://www.oit.va.gov/Services/TRM/ToolPage.aspx?tid=9973^","RC50-C High Frequency (HF) Email Software")</f>
        <v>RC50-C High Frequency (HF) Email Software</v>
      </c>
      <c r="B1873" s="4" t="s">
        <v>2907</v>
      </c>
      <c r="C1873" s="8" t="s">
        <v>5</v>
      </c>
      <c r="D1873" s="11" t="s">
        <v>2908</v>
      </c>
    </row>
    <row r="1874" spans="1:4" ht="30">
      <c r="A1874" s="5" t="str">
        <f>HYPERLINK("https://www.oit.va.gov/Services/TRM/ToolPage.aspx?tid=9843^","Transmitter Programming Software (TPS) System Programmer")</f>
        <v>Transmitter Programming Software (TPS) System Programmer</v>
      </c>
      <c r="B1874" s="4" t="s">
        <v>2907</v>
      </c>
      <c r="C1874" s="8" t="s">
        <v>5</v>
      </c>
      <c r="D1874" s="11" t="s">
        <v>5552</v>
      </c>
    </row>
    <row r="1875" spans="1:4" ht="30">
      <c r="A1875" s="5" t="str">
        <f>HYPERLINK("https://www.oit.va.gov/Services/TRM/ToolPage.aspx?tid=11515^","Blue Alert Event Management Software (EMS)")</f>
        <v>Blue Alert Event Management Software (EMS)</v>
      </c>
      <c r="B1875" s="4" t="s">
        <v>6349</v>
      </c>
      <c r="C1875" s="8" t="s">
        <v>5</v>
      </c>
      <c r="D1875" s="11" t="s">
        <v>6350</v>
      </c>
    </row>
    <row r="1876" spans="1:4" ht="30">
      <c r="A1876" s="5" t="str">
        <f>HYPERLINK("https://www.oit.va.gov/Services/TRM/ToolPage.aspx?tid=11504^","Blue Alert Mass Notification Software (MNS)")</f>
        <v>Blue Alert Mass Notification Software (MNS)</v>
      </c>
      <c r="B1876" s="4" t="s">
        <v>6349</v>
      </c>
      <c r="C1876" s="8" t="s">
        <v>5</v>
      </c>
      <c r="D1876" s="11" t="s">
        <v>1213</v>
      </c>
    </row>
    <row r="1877" spans="1:4" ht="30">
      <c r="A1877" s="5" t="str">
        <f>HYPERLINK("https://www.oit.va.gov/Services/TRM/ToolPage.aspx?tid=7263^","Kanine Visual Pro Edition")</f>
        <v>Kanine Visual Pro Edition</v>
      </c>
      <c r="B1877" s="4" t="s">
        <v>5293</v>
      </c>
      <c r="C1877" s="8" t="s">
        <v>5</v>
      </c>
      <c r="D1877" s="11" t="s">
        <v>5294</v>
      </c>
    </row>
    <row r="1878" spans="1:4" ht="30">
      <c r="A1878" s="5" t="str">
        <f>HYPERLINK("https://www.oit.va.gov/Services/TRM/ToolPage.aspx?tid=16037^","Code On Time")</f>
        <v>Code On Time</v>
      </c>
      <c r="B1878" s="4" t="s">
        <v>3938</v>
      </c>
      <c r="C1878" s="8" t="s">
        <v>5</v>
      </c>
      <c r="D1878" s="11" t="s">
        <v>2415</v>
      </c>
    </row>
    <row r="1879" spans="1:4" ht="30">
      <c r="A1879" s="5" t="str">
        <f>HYPERLINK("https://www.oit.va.gov/Services/TRM/ToolPage.aspx?tid=10504^","TeraCopy")</f>
        <v>TeraCopy</v>
      </c>
      <c r="B1879" s="4" t="s">
        <v>3671</v>
      </c>
      <c r="C1879" s="8" t="s">
        <v>5</v>
      </c>
      <c r="D1879" s="11" t="s">
        <v>3672</v>
      </c>
    </row>
    <row r="1880" spans="1:4" ht="30">
      <c r="A1880" s="5" t="str">
        <f>HYPERLINK("https://www.oit.va.gov/Services/TRM/ToolPage.aspx?tid=6126^","Royal TS")</f>
        <v>Royal TS</v>
      </c>
      <c r="B1880" s="4" t="s">
        <v>7089</v>
      </c>
      <c r="C1880" s="8" t="s">
        <v>5</v>
      </c>
      <c r="D1880" s="11" t="s">
        <v>3406</v>
      </c>
    </row>
    <row r="1881" spans="1:4" ht="30">
      <c r="A1881" s="5" t="str">
        <f>HYPERLINK("https://www.oit.va.gov/Services/TRM/ToolPage.aspx?tid=177^","Castor")</f>
        <v>Castor</v>
      </c>
      <c r="B1881" s="4" t="s">
        <v>5090</v>
      </c>
      <c r="C1881" s="8" t="s">
        <v>5</v>
      </c>
      <c r="D1881" s="11" t="s">
        <v>2364</v>
      </c>
    </row>
    <row r="1882" spans="1:4" ht="30">
      <c r="A1882" s="5" t="str">
        <f>HYPERLINK("https://www.oit.va.gov/Services/TRM/ToolPage.aspx?tid=8924^","Plexus")</f>
        <v>Plexus</v>
      </c>
      <c r="B1882" s="4" t="s">
        <v>5426</v>
      </c>
      <c r="C1882" s="8" t="s">
        <v>5</v>
      </c>
      <c r="D1882" s="11" t="s">
        <v>5054</v>
      </c>
    </row>
    <row r="1883" spans="1:4" ht="30">
      <c r="A1883" s="5" t="str">
        <f>HYPERLINK("https://www.oit.va.gov/Services/TRM/ToolPage.aspx?tid=7935^","CodeIgniter")</f>
        <v>CodeIgniter</v>
      </c>
      <c r="B1883" s="4" t="s">
        <v>3941</v>
      </c>
      <c r="C1883" s="8" t="s">
        <v>5</v>
      </c>
      <c r="D1883" s="11" t="s">
        <v>3942</v>
      </c>
    </row>
    <row r="1884" spans="1:4" ht="30">
      <c r="A1884" s="5" t="str">
        <f>HYPERLINK("https://www.oit.va.gov/Services/TRM/ToolPage.aspx?tid=10453^","SharePoint List Adapter")</f>
        <v>SharePoint List Adapter</v>
      </c>
      <c r="B1884" s="4" t="s">
        <v>7135</v>
      </c>
      <c r="C1884" s="8" t="s">
        <v>5</v>
      </c>
      <c r="D1884" s="11" t="s">
        <v>7136</v>
      </c>
    </row>
    <row r="1885" spans="1:4" ht="30">
      <c r="A1885" s="5" t="str">
        <f>HYPERLINK("https://www.oit.va.gov/Services/TRM/ToolPage.aspx?tid=8140^","Word 2007/2010 Redaction Tool")</f>
        <v>Word 2007/2010 Redaction Tool</v>
      </c>
      <c r="B1885" s="4" t="s">
        <v>7135</v>
      </c>
      <c r="C1885" s="8" t="s">
        <v>5</v>
      </c>
      <c r="D1885" s="11" t="s">
        <v>8951</v>
      </c>
    </row>
    <row r="1886" spans="1:4" ht="30">
      <c r="A1886" s="5" t="str">
        <f>HYPERLINK("https://www.oit.va.gov/Services/TRM/ToolPage.aspx?tid=7625^","CodeSmith Generator")</f>
        <v>CodeSmith Generator</v>
      </c>
      <c r="B1886" s="4" t="s">
        <v>2473</v>
      </c>
      <c r="C1886" s="8" t="s">
        <v>5</v>
      </c>
      <c r="D1886" s="11" t="s">
        <v>284</v>
      </c>
    </row>
    <row r="1887" spans="1:4" ht="30">
      <c r="A1887" s="5" t="str">
        <f>HYPERLINK("https://www.oit.va.gov/Services/TRM/ToolPage.aspx?tid=8041^","BrowseReporter")</f>
        <v>BrowseReporter</v>
      </c>
      <c r="B1887" s="4" t="s">
        <v>3183</v>
      </c>
      <c r="C1887" s="8" t="s">
        <v>5</v>
      </c>
      <c r="D1887" s="11" t="s">
        <v>3184</v>
      </c>
    </row>
    <row r="1888" spans="1:4" ht="30">
      <c r="A1888" s="5" t="str">
        <f>HYPERLINK("https://www.oit.va.gov/Services/TRM/ToolPage.aspx?tid=11698^","Data Analytics Tool (DAT)")</f>
        <v>Data Analytics Tool (DAT)</v>
      </c>
      <c r="B1888" s="4" t="s">
        <v>3997</v>
      </c>
      <c r="C1888" s="8" t="s">
        <v>5</v>
      </c>
      <c r="D1888" s="11" t="s">
        <v>3998</v>
      </c>
    </row>
    <row r="1889" spans="1:4" ht="30">
      <c r="A1889" s="5" t="str">
        <f>HYPERLINK("https://www.oit.va.gov/Services/TRM/ToolPage.aspx?tid=13800^","Direct File Transfer Protocol (FTP)")</f>
        <v>Direct File Transfer Protocol (FTP)</v>
      </c>
      <c r="B1889" s="4" t="s">
        <v>6517</v>
      </c>
      <c r="C1889" s="8" t="s">
        <v>5</v>
      </c>
      <c r="D1889" s="11" t="s">
        <v>5272</v>
      </c>
    </row>
    <row r="1890" spans="1:4" ht="30">
      <c r="A1890" s="5" t="str">
        <f>HYPERLINK("https://www.oit.va.gov/Services/TRM/ToolPage.aspx?tid=13535^","QueueExplorer")</f>
        <v>QueueExplorer</v>
      </c>
      <c r="B1890" s="4" t="s">
        <v>7057</v>
      </c>
      <c r="C1890" s="8" t="s">
        <v>5</v>
      </c>
      <c r="D1890" s="11" t="s">
        <v>7058</v>
      </c>
    </row>
    <row r="1891" spans="1:4" ht="30">
      <c r="A1891" s="5" t="str">
        <f>HYPERLINK("https://www.oit.va.gov/Services/TRM/ToolPage.aspx?tid=15369^","Coginiti")</f>
        <v>Coginiti</v>
      </c>
      <c r="B1891" s="4" t="s">
        <v>3944</v>
      </c>
      <c r="C1891" s="8" t="s">
        <v>5</v>
      </c>
      <c r="D1891" s="11" t="s">
        <v>3241</v>
      </c>
    </row>
    <row r="1892" spans="1:4" ht="30">
      <c r="A1892" s="5" t="str">
        <f>HYPERLINK("https://www.oit.va.gov/Services/TRM/ToolPage.aspx?tid=9923^","Cogito Companion")</f>
        <v>Cogito Companion</v>
      </c>
      <c r="B1892" s="4" t="s">
        <v>952</v>
      </c>
      <c r="C1892" s="8" t="s">
        <v>5</v>
      </c>
      <c r="D1892" s="11" t="s">
        <v>953</v>
      </c>
    </row>
    <row r="1893" spans="1:4" ht="30">
      <c r="A1893" s="5" t="str">
        <f>HYPERLINK("https://www.oit.va.gov/Services/TRM/ToolPage.aspx?tid=14622^","Cognex DataMan")</f>
        <v>Cognex DataMan</v>
      </c>
      <c r="B1893" s="4" t="s">
        <v>3945</v>
      </c>
      <c r="C1893" s="8" t="s">
        <v>5</v>
      </c>
      <c r="D1893" s="11" t="s">
        <v>2100</v>
      </c>
    </row>
    <row r="1894" spans="1:4" ht="30">
      <c r="A1894" s="5" t="str">
        <f>HYPERLINK("https://www.oit.va.gov/Services/TRM/ToolPage.aspx?tid=13496^","CC PDF Converter")</f>
        <v>CC PDF Converter</v>
      </c>
      <c r="B1894" s="4" t="s">
        <v>7623</v>
      </c>
      <c r="C1894" s="8" t="s">
        <v>5</v>
      </c>
      <c r="D1894" s="11" t="s">
        <v>6734</v>
      </c>
    </row>
    <row r="1895" spans="1:4" ht="30">
      <c r="A1895" s="5" t="str">
        <f>HYPERLINK("https://www.oit.va.gov/Services/TRM/ToolPage.aspx?tid=13490^","PDF2XL (Portable Document Format to Excel)")</f>
        <v>PDF2XL (Portable Document Format to Excel)</v>
      </c>
      <c r="B1895" s="4" t="s">
        <v>7623</v>
      </c>
      <c r="C1895" s="8" t="s">
        <v>5</v>
      </c>
      <c r="D1895" s="11" t="s">
        <v>7407</v>
      </c>
    </row>
    <row r="1896" spans="1:4" ht="30">
      <c r="A1896" s="5" t="str">
        <f>HYPERLINK("https://www.oit.va.gov/Services/TRM/ToolPage.aspx?tid=16074^","ECFax Conductor")</f>
        <v>ECFax Conductor</v>
      </c>
      <c r="B1896" s="4" t="s">
        <v>4063</v>
      </c>
      <c r="C1896" s="8" t="s">
        <v>5</v>
      </c>
      <c r="D1896" s="11" t="s">
        <v>933</v>
      </c>
    </row>
    <row r="1897" spans="1:4" ht="30">
      <c r="A1897" s="5" t="str">
        <f>HYPERLINK("https://www.oit.va.gov/Services/TRM/ToolPage.aspx?tid=16190^","ECFax Messenger")</f>
        <v>ECFax Messenger</v>
      </c>
      <c r="B1897" s="4" t="s">
        <v>4063</v>
      </c>
      <c r="C1897" s="8" t="s">
        <v>5</v>
      </c>
      <c r="D1897" s="11" t="s">
        <v>1436</v>
      </c>
    </row>
    <row r="1898" spans="1:4" ht="30">
      <c r="A1898" s="5" t="str">
        <f>HYPERLINK("https://www.oit.va.gov/Services/TRM/ToolPage.aspx?tid=15186^","Cogstate Research")</f>
        <v>Cogstate Research</v>
      </c>
      <c r="B1898" s="4" t="s">
        <v>1446</v>
      </c>
      <c r="C1898" s="8" t="s">
        <v>5</v>
      </c>
      <c r="D1898" s="11" t="s">
        <v>1447</v>
      </c>
    </row>
    <row r="1899" spans="1:4" ht="30">
      <c r="A1899" s="5" t="str">
        <f>HYPERLINK("https://www.oit.va.gov/Services/TRM/ToolPage.aspx?tid=10789^","CogTool")</f>
        <v>CogTool</v>
      </c>
      <c r="B1899" s="4" t="s">
        <v>2474</v>
      </c>
      <c r="C1899" s="8" t="s">
        <v>5</v>
      </c>
      <c r="D1899" s="11" t="s">
        <v>2475</v>
      </c>
    </row>
    <row r="1900" spans="1:4" ht="30">
      <c r="A1900" s="5" t="str">
        <f>HYPERLINK("https://www.oit.va.gov/Services/TRM/ToolPage.aspx?tid=16305^","Cohesity Helios")</f>
        <v>Cohesity Helios</v>
      </c>
      <c r="B1900" s="4" t="s">
        <v>1448</v>
      </c>
      <c r="C1900" s="8" t="s">
        <v>5</v>
      </c>
      <c r="D1900" s="11" t="s">
        <v>1449</v>
      </c>
    </row>
    <row r="1901" spans="1:4" ht="30">
      <c r="A1901" s="5" t="str">
        <f>HYPERLINK("https://www.oit.va.gov/Services/TRM/ToolPage.aspx?tid=14912^","Cohesity DataPlatform")</f>
        <v>Cohesity DataPlatform</v>
      </c>
      <c r="B1901" s="4" t="s">
        <v>1448</v>
      </c>
      <c r="C1901" s="8" t="s">
        <v>5</v>
      </c>
      <c r="D1901" s="11" t="s">
        <v>5106</v>
      </c>
    </row>
    <row r="1902" spans="1:4" ht="30">
      <c r="A1902" s="5" t="str">
        <f>HYPERLINK("https://www.oit.va.gov/Services/TRM/ToolPage.aspx?tid=16200^","Stitch ERA")</f>
        <v>Stitch ERA</v>
      </c>
      <c r="B1902" s="4" t="s">
        <v>4860</v>
      </c>
      <c r="C1902" s="8" t="s">
        <v>5</v>
      </c>
      <c r="D1902" s="11" t="s">
        <v>4861</v>
      </c>
    </row>
    <row r="1903" spans="1:4" ht="30">
      <c r="A1903" s="5" t="str">
        <f>HYPERLINK("https://www.oit.va.gov/Services/TRM/ToolPage.aspx?tid=14479^","Media Player Codec Pack")</f>
        <v>Media Player Codec Pack</v>
      </c>
      <c r="B1903" s="4" t="s">
        <v>8231</v>
      </c>
      <c r="C1903" s="8" t="s">
        <v>5</v>
      </c>
      <c r="D1903" s="11" t="s">
        <v>8232</v>
      </c>
    </row>
    <row r="1904" spans="1:4" ht="30">
      <c r="A1904" s="5" t="str">
        <f>HYPERLINK("https://www.oit.va.gov/Services/TRM/ToolPage.aspx?tid=11640^","Colectica Designer")</f>
        <v>Colectica Designer</v>
      </c>
      <c r="B1904" s="4" t="s">
        <v>6437</v>
      </c>
      <c r="C1904" s="8" t="s">
        <v>5</v>
      </c>
      <c r="D1904" s="11" t="s">
        <v>6438</v>
      </c>
    </row>
    <row r="1905" spans="1:4" ht="30">
      <c r="A1905" s="5" t="str">
        <f>HYPERLINK("https://www.oit.va.gov/Services/TRM/ToolPage.aspx?tid=11641^","Colectica Portal")</f>
        <v>Colectica Portal</v>
      </c>
      <c r="B1905" s="4" t="s">
        <v>6437</v>
      </c>
      <c r="C1905" s="8" t="s">
        <v>5</v>
      </c>
      <c r="D1905" s="11" t="s">
        <v>6439</v>
      </c>
    </row>
    <row r="1906" spans="1:4" ht="30">
      <c r="A1906" s="5" t="str">
        <f>HYPERLINK("https://www.oit.va.gov/Services/TRM/ToolPage.aspx?tid=11642^","Colectica Repository")</f>
        <v>Colectica Repository</v>
      </c>
      <c r="B1906" s="4" t="s">
        <v>6437</v>
      </c>
      <c r="C1906" s="8" t="s">
        <v>5</v>
      </c>
      <c r="D1906" s="11" t="s">
        <v>6438</v>
      </c>
    </row>
    <row r="1907" spans="1:4" ht="30">
      <c r="A1907" s="5" t="str">
        <f>HYPERLINK("https://www.oit.va.gov/Services/TRM/ToolPage.aspx?tid=6188^","Xming")</f>
        <v>Xming</v>
      </c>
      <c r="B1907" s="4" t="s">
        <v>8963</v>
      </c>
      <c r="C1907" s="8" t="s">
        <v>5</v>
      </c>
      <c r="D1907" s="11" t="s">
        <v>6231</v>
      </c>
    </row>
    <row r="1908" spans="1:4" ht="30">
      <c r="A1908" s="5" t="str">
        <f>HYPERLINK("https://www.oit.va.gov/Services/TRM/ToolPage.aspx?tid=14043^","collectD")</f>
        <v>collectD</v>
      </c>
      <c r="B1908" s="4" t="s">
        <v>6440</v>
      </c>
      <c r="C1908" s="8" t="s">
        <v>5</v>
      </c>
      <c r="D1908" s="11" t="s">
        <v>1339</v>
      </c>
    </row>
    <row r="1909" spans="1:4" ht="30">
      <c r="A1909" s="5" t="str">
        <f>HYPERLINK("https://www.oit.va.gov/Services/TRM/ToolPage.aspx?tid=15905^","Collibra Data Lineage")</f>
        <v>Collibra Data Lineage</v>
      </c>
      <c r="B1909" s="4" t="s">
        <v>3946</v>
      </c>
      <c r="C1909" s="8" t="s">
        <v>5</v>
      </c>
      <c r="D1909" s="11" t="s">
        <v>1413</v>
      </c>
    </row>
    <row r="1910" spans="1:4" ht="30">
      <c r="A1910" s="5" t="str">
        <f>HYPERLINK("https://www.oit.va.gov/Services/TRM/ToolPage.aspx?tid=16650^","Collibra Data Quality")</f>
        <v>Collibra Data Quality</v>
      </c>
      <c r="B1910" s="4" t="s">
        <v>3946</v>
      </c>
      <c r="C1910" s="8" t="s">
        <v>5</v>
      </c>
      <c r="D1910" s="11" t="s">
        <v>3947</v>
      </c>
    </row>
    <row r="1911" spans="1:4" ht="30">
      <c r="A1911" s="5" t="str">
        <f>HYPERLINK("https://www.oit.va.gov/Services/TRM/ToolPage.aspx?tid=16651^","Collibra Edge")</f>
        <v>Collibra Edge</v>
      </c>
      <c r="B1911" s="4" t="s">
        <v>3946</v>
      </c>
      <c r="C1911" s="8" t="s">
        <v>5</v>
      </c>
      <c r="D1911" s="11" t="s">
        <v>3948</v>
      </c>
    </row>
    <row r="1912" spans="1:4" ht="30">
      <c r="A1912" s="5" t="str">
        <f>HYPERLINK("https://www.oit.va.gov/Services/TRM/ToolPage.aspx?tid=15617^","Collibra Jobserver")</f>
        <v>Collibra Jobserver</v>
      </c>
      <c r="B1912" s="4" t="s">
        <v>3946</v>
      </c>
      <c r="C1912" s="8" t="s">
        <v>5</v>
      </c>
      <c r="D1912" s="11" t="s">
        <v>3949</v>
      </c>
    </row>
    <row r="1913" spans="1:4" ht="30">
      <c r="A1913" s="5" t="str">
        <f>HYPERLINK("https://www.oit.va.gov/Services/TRM/ToolPage.aspx?tid=16167^","Scribe Chrome Extension")</f>
        <v>Scribe Chrome Extension</v>
      </c>
      <c r="B1913" s="4" t="s">
        <v>7114</v>
      </c>
      <c r="C1913" s="8" t="s">
        <v>5</v>
      </c>
      <c r="D1913" s="11" t="s">
        <v>1909</v>
      </c>
    </row>
    <row r="1914" spans="1:4" ht="30">
      <c r="A1914" s="5" t="str">
        <f>HYPERLINK("https://www.oit.va.gov/Services/TRM/ToolPage.aspx?tid=13255^","CURL (Colorado University Record Linkage)")</f>
        <v>CURL (Colorado University Record Linkage)</v>
      </c>
      <c r="B1914" s="4" t="s">
        <v>7716</v>
      </c>
      <c r="C1914" s="8" t="s">
        <v>5</v>
      </c>
      <c r="D1914" s="11" t="s">
        <v>3755</v>
      </c>
    </row>
    <row r="1915" spans="1:4" ht="30">
      <c r="A1915" s="5" t="str">
        <f>HYPERLINK("https://www.oit.va.gov/Services/TRM/ToolPage.aspx?tid=12976^","ColorCop")</f>
        <v>ColorCop</v>
      </c>
      <c r="B1915" s="4" t="s">
        <v>7674</v>
      </c>
      <c r="C1915" s="8" t="s">
        <v>5</v>
      </c>
      <c r="D1915" s="11" t="s">
        <v>7675</v>
      </c>
    </row>
    <row r="1916" spans="1:4" ht="30">
      <c r="A1916" s="5" t="str">
        <f>HYPERLINK("https://www.oit.va.gov/Services/TRM/ToolPage.aspx?tid=13926^","Asure ID 7 Photo ID Card Software")</f>
        <v>Asure ID 7 Photo ID Card Software</v>
      </c>
      <c r="B1916" s="4" t="s">
        <v>5061</v>
      </c>
      <c r="C1916" s="8" t="s">
        <v>5</v>
      </c>
      <c r="D1916" s="11" t="s">
        <v>533</v>
      </c>
    </row>
    <row r="1917" spans="1:4" ht="30">
      <c r="A1917" s="5" t="str">
        <f>HYPERLINK("https://www.oit.va.gov/Services/TRM/ToolPage.aspx?tid=14988^","AdminLTE")</f>
        <v>AdminLTE</v>
      </c>
      <c r="B1917" s="4" t="s">
        <v>3703</v>
      </c>
      <c r="C1917" s="8" t="s">
        <v>5</v>
      </c>
      <c r="D1917" s="11" t="s">
        <v>2338</v>
      </c>
    </row>
    <row r="1918" spans="1:4" ht="30">
      <c r="A1918" s="5" t="str">
        <f>HYPERLINK("https://www.oit.va.gov/Services/TRM/ToolPage.aspx?tid=7373^","CUSpider")</f>
        <v>CUSpider</v>
      </c>
      <c r="B1918" s="4" t="s">
        <v>2107</v>
      </c>
      <c r="C1918" s="8" t="s">
        <v>5</v>
      </c>
      <c r="D1918" s="11" t="s">
        <v>2108</v>
      </c>
    </row>
    <row r="1919" spans="1:4" ht="30">
      <c r="A1919" s="5" t="str">
        <f>HYPERLINK("https://www.oit.va.gov/Services/TRM/ToolPage.aspx?tid=10983^","TeemIP")</f>
        <v>TeemIP</v>
      </c>
      <c r="B1919" s="4" t="s">
        <v>8783</v>
      </c>
      <c r="C1919" s="8" t="s">
        <v>5</v>
      </c>
      <c r="D1919" s="11" t="s">
        <v>8666</v>
      </c>
    </row>
    <row r="1920" spans="1:4" ht="30">
      <c r="A1920" s="5" t="str">
        <f>HYPERLINK("https://www.oit.va.gov/Services/TRM/ToolPage.aspx?tid=13544^","CompuSyn")</f>
        <v>CompuSyn</v>
      </c>
      <c r="B1920" s="4" t="s">
        <v>3220</v>
      </c>
      <c r="C1920" s="8" t="s">
        <v>5</v>
      </c>
      <c r="D1920" s="11" t="s">
        <v>3221</v>
      </c>
    </row>
    <row r="1921" spans="1:4" ht="30">
      <c r="A1921" s="5" t="str">
        <f>HYPERLINK("https://www.oit.va.gov/Services/TRM/ToolPage.aspx?tid=8410^","Free Alarm Clock")</f>
        <v>Free Alarm Clock</v>
      </c>
      <c r="B1921" s="4" t="s">
        <v>5205</v>
      </c>
      <c r="C1921" s="8" t="s">
        <v>5</v>
      </c>
      <c r="D1921" s="11" t="s">
        <v>489</v>
      </c>
    </row>
    <row r="1922" spans="1:4" ht="30">
      <c r="A1922" s="5" t="str">
        <f>HYPERLINK("https://www.oit.va.gov/Services/TRM/ToolPage.aspx?tid=15510^","Comm One Email/Telocator Network Paging Protocol (TNPP) Gateway")</f>
        <v>Comm One Email/Telocator Network Paging Protocol (TNPP) Gateway</v>
      </c>
      <c r="B1922" s="4" t="s">
        <v>5107</v>
      </c>
      <c r="C1922" s="8" t="s">
        <v>5</v>
      </c>
      <c r="D1922" s="11" t="s">
        <v>5108</v>
      </c>
    </row>
    <row r="1923" spans="1:4" ht="30">
      <c r="A1923" s="5" t="str">
        <f>HYPERLINK("https://www.oit.va.gov/Services/TRM/ToolPage.aspx?tid=15415^","Comm One Simple Network Paging Protocol (SNPP) Client")</f>
        <v>Comm One Simple Network Paging Protocol (SNPP) Client</v>
      </c>
      <c r="B1923" s="4" t="s">
        <v>5107</v>
      </c>
      <c r="C1923" s="8" t="s">
        <v>5</v>
      </c>
      <c r="D1923" s="11" t="s">
        <v>7680</v>
      </c>
    </row>
    <row r="1924" spans="1:4" ht="30">
      <c r="A1924" s="5" t="str">
        <f>HYPERLINK("https://www.oit.va.gov/Services/TRM/ToolPage.aspx?tid=6475^","CommonLook Office GlobalAccess")</f>
        <v>CommonLook Office GlobalAccess</v>
      </c>
      <c r="B1924" s="4" t="s">
        <v>3658</v>
      </c>
      <c r="C1924" s="8" t="s">
        <v>5</v>
      </c>
      <c r="D1924" s="11" t="s">
        <v>3659</v>
      </c>
    </row>
    <row r="1925" spans="1:4" ht="30">
      <c r="A1925" s="5" t="str">
        <f>HYPERLINK("https://www.oit.va.gov/Services/TRM/ToolPage.aspx?tid=14574^","CommonLook Portable Document Format (PDF) Validator")</f>
        <v>CommonLook Portable Document Format (PDF) Validator</v>
      </c>
      <c r="B1925" s="4" t="s">
        <v>3658</v>
      </c>
      <c r="C1925" s="8" t="s">
        <v>5</v>
      </c>
      <c r="D1925" s="11" t="s">
        <v>1453</v>
      </c>
    </row>
    <row r="1926" spans="1:4" ht="30">
      <c r="A1926" s="5" t="str">
        <f>HYPERLINK("https://www.oit.va.gov/Services/TRM/ToolPage.aspx?tid=10905^","Data Center Infrastructure Management (DCIM) Software Suite")</f>
        <v>Data Center Infrastructure Management (DCIM) Software Suite</v>
      </c>
      <c r="B1926" s="4" t="s">
        <v>1481</v>
      </c>
      <c r="C1926" s="8" t="s">
        <v>5</v>
      </c>
      <c r="D1926" s="11" t="s">
        <v>1482</v>
      </c>
    </row>
    <row r="1927" spans="1:4" ht="30">
      <c r="A1927" s="5" t="str">
        <f>HYPERLINK("https://www.oit.va.gov/Services/TRM/ToolPage.aspx?tid=6869^","ITRACS Physical Layer Manager (PLM)")</f>
        <v>ITRACS Physical Layer Manager (PLM)</v>
      </c>
      <c r="B1927" s="4" t="s">
        <v>1481</v>
      </c>
      <c r="C1927" s="8" t="s">
        <v>5</v>
      </c>
      <c r="D1927" s="11" t="s">
        <v>8110</v>
      </c>
    </row>
    <row r="1928" spans="1:4" ht="30">
      <c r="A1928" s="5" t="str">
        <f>HYPERLINK("https://www.oit.va.gov/Services/TRM/ToolPage.aspx?tid=15167^","CLIPS Full Terminal")</f>
        <v>CLIPS Full Terminal</v>
      </c>
      <c r="B1928" s="4" t="s">
        <v>3927</v>
      </c>
      <c r="C1928" s="8" t="s">
        <v>5</v>
      </c>
      <c r="D1928" s="11" t="s">
        <v>3928</v>
      </c>
    </row>
    <row r="1929" spans="1:4" ht="30">
      <c r="A1929" s="5" t="str">
        <f>HYPERLINK("https://www.oit.va.gov/Services/TRM/ToolPage.aspx?tid=15245^","ConnectCIC")</f>
        <v>ConnectCIC</v>
      </c>
      <c r="B1929" s="4" t="s">
        <v>3927</v>
      </c>
      <c r="C1929" s="8" t="s">
        <v>5</v>
      </c>
      <c r="D1929" s="11" t="s">
        <v>4143</v>
      </c>
    </row>
    <row r="1930" spans="1:4" ht="30">
      <c r="A1930" s="5" t="str">
        <f>HYPERLINK("https://www.oit.va.gov/Services/TRM/ToolPage.aspx?tid=8122^","Monthly Income Plan (MIP) Fund Accounting")</f>
        <v>Monthly Income Plan (MIP) Fund Accounting</v>
      </c>
      <c r="B1930" s="4" t="s">
        <v>4450</v>
      </c>
      <c r="C1930" s="8" t="s">
        <v>5</v>
      </c>
      <c r="D1930" s="11" t="s">
        <v>4451</v>
      </c>
    </row>
    <row r="1931" spans="1:4" ht="30">
      <c r="A1931" s="5" t="str">
        <f>HYPERLINK("https://www.oit.va.gov/Services/TRM/ToolPage.aspx?tid=10348^","Commvault Windows File System iDataAgent")</f>
        <v>Commvault Windows File System iDataAgent</v>
      </c>
      <c r="B1931" s="4" t="s">
        <v>631</v>
      </c>
      <c r="C1931" s="8" t="s">
        <v>5</v>
      </c>
      <c r="D1931" s="11" t="s">
        <v>632</v>
      </c>
    </row>
    <row r="1932" spans="1:4" ht="30">
      <c r="A1932" s="5" t="str">
        <f>HYPERLINK("https://www.oit.va.gov/Services/TRM/ToolPage.aspx?tid=6567^","Commvault")</f>
        <v>Commvault</v>
      </c>
      <c r="B1932" s="4" t="s">
        <v>631</v>
      </c>
      <c r="C1932" s="8" t="s">
        <v>5</v>
      </c>
      <c r="D1932" s="11" t="s">
        <v>576</v>
      </c>
    </row>
    <row r="1933" spans="1:4" ht="30">
      <c r="A1933" s="5" t="str">
        <f>HYPERLINK("https://www.oit.va.gov/Services/TRM/ToolPage.aspx?tid=5917^","CommCell Console")</f>
        <v>CommCell Console</v>
      </c>
      <c r="B1933" s="4" t="s">
        <v>631</v>
      </c>
      <c r="C1933" s="8" t="s">
        <v>5</v>
      </c>
      <c r="D1933" s="11" t="s">
        <v>939</v>
      </c>
    </row>
    <row r="1934" spans="1:4" ht="30">
      <c r="A1934" s="5" t="str">
        <f>HYPERLINK("https://www.oit.va.gov/Services/TRM/ToolPage.aspx?tid=14980^","Commvault ContentStore")</f>
        <v>Commvault ContentStore</v>
      </c>
      <c r="B1934" s="4" t="s">
        <v>631</v>
      </c>
      <c r="C1934" s="8" t="s">
        <v>5</v>
      </c>
      <c r="D1934" s="11" t="s">
        <v>3954</v>
      </c>
    </row>
    <row r="1935" spans="1:4" ht="30">
      <c r="A1935" s="5" t="str">
        <f>HYPERLINK("https://www.oit.va.gov/Services/TRM/ToolPage.aspx?tid=13933^","Commvault SRM Windows File System Agent")</f>
        <v>Commvault SRM Windows File System Agent</v>
      </c>
      <c r="B1935" s="4" t="s">
        <v>631</v>
      </c>
      <c r="C1935" s="8" t="s">
        <v>5</v>
      </c>
      <c r="D1935" s="11" t="s">
        <v>7682</v>
      </c>
    </row>
    <row r="1936" spans="1:4" ht="30">
      <c r="A1936" s="5" t="str">
        <f>HYPERLINK("https://www.oit.va.gov/Services/TRM/ToolPage.aspx?tid=15029^","WinMed Practice Management (PM)")</f>
        <v>WinMed Practice Management (PM)</v>
      </c>
      <c r="B1936" s="4" t="s">
        <v>5595</v>
      </c>
      <c r="C1936" s="8" t="s">
        <v>5</v>
      </c>
      <c r="D1936" s="11" t="s">
        <v>5596</v>
      </c>
    </row>
    <row r="1937" spans="1:4" ht="30">
      <c r="A1937" s="5" t="str">
        <f>HYPERLINK("https://www.oit.va.gov/Services/TRM/ToolPage.aspx?tid=10032^","Complion")</f>
        <v>Complion</v>
      </c>
      <c r="B1937" s="4" t="s">
        <v>1153</v>
      </c>
      <c r="C1937" s="8" t="s">
        <v>5</v>
      </c>
      <c r="D1937" s="11" t="s">
        <v>1154</v>
      </c>
    </row>
    <row r="1938" spans="1:4" ht="30">
      <c r="A1938" s="5" t="str">
        <f>HYPERLINK("https://www.oit.va.gov/Services/TRM/ToolPage.aspx?tid=11140^","True DBGrid Pro")</f>
        <v>True DBGrid Pro</v>
      </c>
      <c r="B1938" s="4" t="s">
        <v>7251</v>
      </c>
      <c r="C1938" s="8" t="s">
        <v>5</v>
      </c>
      <c r="D1938" s="11" t="s">
        <v>7137</v>
      </c>
    </row>
    <row r="1939" spans="1:4" ht="30">
      <c r="A1939" s="5" t="str">
        <f>HYPERLINK("https://www.oit.va.gov/Services/TRM/ToolPage.aspx?tid=8594^","KBMMemTable")</f>
        <v>KBMMemTable</v>
      </c>
      <c r="B1939" s="4" t="s">
        <v>2710</v>
      </c>
      <c r="C1939" s="8" t="s">
        <v>5</v>
      </c>
      <c r="D1939" s="11" t="s">
        <v>759</v>
      </c>
    </row>
    <row r="1940" spans="1:4" ht="30">
      <c r="A1940" s="5" t="str">
        <f>HYPERLINK("https://www.oit.va.gov/Services/TRM/ToolPage.aspx?tid=8127^","Comprehensive Meta-Analysis (CMA)")</f>
        <v>Comprehensive Meta-Analysis (CMA)</v>
      </c>
      <c r="B1940" s="4" t="s">
        <v>2482</v>
      </c>
      <c r="C1940" s="8" t="s">
        <v>5</v>
      </c>
      <c r="D1940" s="11" t="s">
        <v>2483</v>
      </c>
    </row>
    <row r="1941" spans="1:4" ht="30">
      <c r="A1941" s="5" t="str">
        <f>HYPERLINK("https://www.oit.va.gov/Services/TRM/ToolPage.aspx?tid=14664^","Profusion Sleep Software")</f>
        <v>Profusion Sleep Software</v>
      </c>
      <c r="B1941" s="4" t="s">
        <v>8487</v>
      </c>
      <c r="C1941" s="8" t="s">
        <v>5</v>
      </c>
      <c r="D1941" s="11" t="s">
        <v>1046</v>
      </c>
    </row>
    <row r="1942" spans="1:4" ht="30">
      <c r="A1942" s="5" t="str">
        <f>HYPERLINK("https://www.oit.va.gov/Services/TRM/ToolPage.aspx?tid=9519^","Curry Advanced Image Processing")</f>
        <v>Curry Advanced Image Processing</v>
      </c>
      <c r="B1942" s="4" t="s">
        <v>3987</v>
      </c>
      <c r="C1942" s="8" t="s">
        <v>5</v>
      </c>
      <c r="D1942" s="11" t="s">
        <v>525</v>
      </c>
    </row>
    <row r="1943" spans="1:4" ht="30">
      <c r="A1943" s="5" t="str">
        <f>HYPERLINK("https://www.oit.va.gov/Services/TRM/ToolPage.aspx?tid=9520^","Curry Signal Processing")</f>
        <v>Curry Signal Processing</v>
      </c>
      <c r="B1943" s="4" t="s">
        <v>3987</v>
      </c>
      <c r="C1943" s="8" t="s">
        <v>5</v>
      </c>
      <c r="D1943" s="11" t="s">
        <v>1178</v>
      </c>
    </row>
    <row r="1944" spans="1:4" ht="30">
      <c r="A1944" s="5" t="str">
        <f>HYPERLINK("https://www.oit.va.gov/Services/TRM/ToolPage.aspx?tid=9491^","Curry Acquisition")</f>
        <v>Curry Acquisition</v>
      </c>
      <c r="B1944" s="4" t="s">
        <v>3987</v>
      </c>
      <c r="C1944" s="8" t="s">
        <v>5</v>
      </c>
      <c r="D1944" s="11" t="s">
        <v>7717</v>
      </c>
    </row>
    <row r="1945" spans="1:4" ht="30">
      <c r="A1945" s="5" t="str">
        <f>HYPERLINK("https://www.oit.va.gov/Services/TRM/ToolPage.aspx?tid=9518^","Curry Advanced Source")</f>
        <v>Curry Advanced Source</v>
      </c>
      <c r="B1945" s="4" t="s">
        <v>3987</v>
      </c>
      <c r="C1945" s="8" t="s">
        <v>5</v>
      </c>
      <c r="D1945" s="11" t="s">
        <v>5431</v>
      </c>
    </row>
    <row r="1946" spans="1:4" ht="30">
      <c r="A1946" s="5" t="str">
        <f>HYPERLINK("https://www.oit.va.gov/Services/TRM/ToolPage.aspx?tid=9503^","Curry Source Analysis")</f>
        <v>Curry Source Analysis</v>
      </c>
      <c r="B1946" s="4" t="s">
        <v>3987</v>
      </c>
      <c r="C1946" s="8" t="s">
        <v>5</v>
      </c>
      <c r="D1946" s="11" t="s">
        <v>1178</v>
      </c>
    </row>
    <row r="1947" spans="1:4" ht="30">
      <c r="A1947" s="5" t="str">
        <f>HYPERLINK("https://www.oit.va.gov/Services/TRM/ToolPage.aspx?tid=9506^","Scan")</f>
        <v>Scan</v>
      </c>
      <c r="B1947" s="4" t="s">
        <v>3987</v>
      </c>
      <c r="C1947" s="8" t="s">
        <v>5</v>
      </c>
      <c r="D1947" s="11" t="s">
        <v>8594</v>
      </c>
    </row>
    <row r="1948" spans="1:4" ht="30">
      <c r="A1948" s="5" t="str">
        <f>HYPERLINK("https://www.oit.va.gov/Services/TRM/ToolPage.aspx?tid=9984^","NetViewMaster Utility")</f>
        <v>NetViewMaster Utility</v>
      </c>
      <c r="B1948" s="4" t="s">
        <v>6922</v>
      </c>
      <c r="C1948" s="8" t="s">
        <v>5</v>
      </c>
      <c r="D1948" s="11" t="s">
        <v>4035</v>
      </c>
    </row>
    <row r="1949" spans="1:4" ht="30">
      <c r="A1949" s="5" t="str">
        <f>HYPERLINK("https://www.oit.va.gov/Services/TRM/ToolPage.aspx?tid=11803^","FasseTrack")</f>
        <v>FasseTrack</v>
      </c>
      <c r="B1949" s="4" t="s">
        <v>7912</v>
      </c>
      <c r="C1949" s="8" t="s">
        <v>5</v>
      </c>
      <c r="D1949" s="11" t="s">
        <v>7913</v>
      </c>
    </row>
    <row r="1950" spans="1:4" ht="30">
      <c r="A1950" s="5" t="str">
        <f>HYPERLINK("https://www.oit.va.gov/Services/TRM/ToolPage.aspx?tid=8701^","CPExpert")</f>
        <v>CPExpert</v>
      </c>
      <c r="B1950" s="4" t="s">
        <v>501</v>
      </c>
      <c r="C1950" s="8" t="s">
        <v>5</v>
      </c>
      <c r="D1950" s="11" t="s">
        <v>502</v>
      </c>
    </row>
    <row r="1951" spans="1:4" ht="30">
      <c r="A1951" s="5" t="str">
        <f>HYPERLINK("https://www.oit.va.gov/Services/TRM/ToolPage.aspx?tid=8355^","OpenFox Desktop")</f>
        <v>OpenFox Desktop</v>
      </c>
      <c r="B1951" s="4" t="s">
        <v>1070</v>
      </c>
      <c r="C1951" s="8" t="s">
        <v>5</v>
      </c>
      <c r="D1951" s="11" t="s">
        <v>1071</v>
      </c>
    </row>
    <row r="1952" spans="1:4" ht="30">
      <c r="A1952" s="5" t="str">
        <f>HYPERLINK("https://www.oit.va.gov/Services/TRM/ToolPage.aspx?tid=10891^","SuitePoint! Point-of-Sale")</f>
        <v>SuitePoint! Point-of-Sale</v>
      </c>
      <c r="B1952" s="4" t="s">
        <v>1969</v>
      </c>
      <c r="C1952" s="8" t="s">
        <v>5</v>
      </c>
      <c r="D1952" s="11" t="s">
        <v>1970</v>
      </c>
    </row>
    <row r="1953" spans="1:4" ht="30">
      <c r="A1953" s="5" t="str">
        <f>HYPERLINK("https://www.oit.va.gov/Services/TRM/ToolPage.aspx?tid=10890^","Nutrition Care Management (NCM)")</f>
        <v>Nutrition Care Management (NCM)</v>
      </c>
      <c r="B1953" s="4" t="s">
        <v>1969</v>
      </c>
      <c r="C1953" s="8" t="s">
        <v>5</v>
      </c>
      <c r="D1953" s="11" t="s">
        <v>2809</v>
      </c>
    </row>
    <row r="1954" spans="1:4" ht="30">
      <c r="A1954" s="5" t="str">
        <f>HYPERLINK("https://www.oit.va.gov/Services/TRM/ToolPage.aspx?tid=10892^","Foodservice Operations Management (FOM)")</f>
        <v>Foodservice Operations Management (FOM)</v>
      </c>
      <c r="B1954" s="4" t="s">
        <v>1969</v>
      </c>
      <c r="C1954" s="8" t="s">
        <v>5</v>
      </c>
      <c r="D1954" s="11" t="s">
        <v>357</v>
      </c>
    </row>
    <row r="1955" spans="1:4" ht="30">
      <c r="A1955" s="5" t="str">
        <f>HYPERLINK("https://www.oit.va.gov/Services/TRM/ToolPage.aspx?tid=11493^","Computrition Hospitality Suite Xchange Gateway")</f>
        <v>Computrition Hospitality Suite Xchange Gateway</v>
      </c>
      <c r="B1955" s="4" t="s">
        <v>1969</v>
      </c>
      <c r="C1955" s="8" t="s">
        <v>5</v>
      </c>
      <c r="D1955" s="11" t="s">
        <v>3950</v>
      </c>
    </row>
    <row r="1956" spans="1:4" ht="30">
      <c r="A1956" s="5" t="str">
        <f>HYPERLINK("https://www.oit.va.gov/Services/TRM/ToolPage.aspx?tid=6908^","LockView Access Control Software")</f>
        <v>LockView Access Control Software</v>
      </c>
      <c r="B1956" s="4" t="s">
        <v>8189</v>
      </c>
      <c r="C1956" s="8" t="s">
        <v>5</v>
      </c>
      <c r="D1956" s="11" t="s">
        <v>3170</v>
      </c>
    </row>
    <row r="1957" spans="1:4" ht="30">
      <c r="A1957" s="5" t="str">
        <f>HYPERLINK("https://www.oit.va.gov/Services/TRM/ToolPage.aspx?tid=11218^","PortVision DX")</f>
        <v>PortVision DX</v>
      </c>
      <c r="B1957" s="4" t="s">
        <v>7015</v>
      </c>
      <c r="C1957" s="8" t="s">
        <v>5</v>
      </c>
      <c r="D1957" s="11" t="s">
        <v>7016</v>
      </c>
    </row>
    <row r="1958" spans="1:4" ht="30">
      <c r="A1958" s="5" t="str">
        <f>HYPERLINK("https://www.oit.va.gov/Services/TRM/ToolPage.aspx?tid=14757^","PortVision Plus")</f>
        <v>PortVision Plus</v>
      </c>
      <c r="B1958" s="4" t="s">
        <v>7015</v>
      </c>
      <c r="C1958" s="8" t="s">
        <v>5</v>
      </c>
      <c r="D1958" s="11" t="s">
        <v>7017</v>
      </c>
    </row>
    <row r="1959" spans="1:4" ht="30">
      <c r="A1959" s="5" t="str">
        <f>HYPERLINK("https://www.oit.va.gov/Services/TRM/ToolPage.aspx?tid=9769^","Cognizen")</f>
        <v>Cognizen</v>
      </c>
      <c r="B1959" s="4" t="s">
        <v>7672</v>
      </c>
      <c r="C1959" s="8" t="s">
        <v>5</v>
      </c>
      <c r="D1959" s="11" t="s">
        <v>6264</v>
      </c>
    </row>
    <row r="1960" spans="1:4" ht="30">
      <c r="A1960" s="5" t="str">
        <f>HYPERLINK("https://www.oit.va.gov/Services/TRM/ToolPage.aspx?tid=15896^","Miniconda")</f>
        <v>Miniconda</v>
      </c>
      <c r="B1960" s="4" t="s">
        <v>6875</v>
      </c>
      <c r="C1960" s="8" t="s">
        <v>5</v>
      </c>
      <c r="D1960" s="11" t="s">
        <v>318</v>
      </c>
    </row>
    <row r="1961" spans="1:4" ht="30">
      <c r="A1961" s="5" t="str">
        <f>HYPERLINK("https://www.oit.va.gov/Services/TRM/ToolPage.aspx?tid=16503^","Miniforge")</f>
        <v>Miniforge</v>
      </c>
      <c r="B1961" s="4" t="s">
        <v>6876</v>
      </c>
      <c r="C1961" s="8" t="s">
        <v>5</v>
      </c>
      <c r="D1961" s="11" t="s">
        <v>2700</v>
      </c>
    </row>
    <row r="1962" spans="1:4" ht="30">
      <c r="A1962" s="5" t="str">
        <f>HYPERLINK("https://www.oit.va.gov/Services/TRM/ToolPage.aspx?tid=10579^","DymaxIO")</f>
        <v>DymaxIO</v>
      </c>
      <c r="B1962" s="4" t="s">
        <v>2115</v>
      </c>
      <c r="C1962" s="8" t="s">
        <v>5</v>
      </c>
      <c r="D1962" s="11" t="s">
        <v>2116</v>
      </c>
    </row>
    <row r="1963" spans="1:4" ht="30">
      <c r="A1963" s="5" t="str">
        <f>HYPERLINK("https://www.oit.va.gov/Services/TRM/ToolPage.aspx?tid=13710^","ExpressCache")</f>
        <v>ExpressCache</v>
      </c>
      <c r="B1963" s="4" t="s">
        <v>2115</v>
      </c>
      <c r="C1963" s="8" t="s">
        <v>5</v>
      </c>
      <c r="D1963" s="11" t="s">
        <v>7896</v>
      </c>
    </row>
    <row r="1964" spans="1:4" ht="30">
      <c r="A1964" s="5" t="str">
        <f>HYPERLINK("https://www.oit.va.gov/Services/TRM/ToolPage.aspx?tid=11330^","HI-IQ Interventional Radiology Information System (IRIS)")</f>
        <v>HI-IQ Interventional Radiology Information System (IRIS)</v>
      </c>
      <c r="B1964" s="4" t="s">
        <v>1598</v>
      </c>
      <c r="C1964" s="8" t="s">
        <v>5</v>
      </c>
      <c r="D1964" s="11" t="s">
        <v>1599</v>
      </c>
    </row>
    <row r="1965" spans="1:4" ht="30">
      <c r="A1965" s="5" t="str">
        <f>HYPERLINK("https://www.oit.va.gov/Services/TRM/ToolPage.aspx?tid=8689^","HI-IQ Classic Software")</f>
        <v>HI-IQ Classic Software</v>
      </c>
      <c r="B1965" s="4" t="s">
        <v>1598</v>
      </c>
      <c r="C1965" s="8" t="s">
        <v>5</v>
      </c>
      <c r="D1965" s="11" t="s">
        <v>3323</v>
      </c>
    </row>
    <row r="1966" spans="1:4" ht="30">
      <c r="A1966" s="5" t="str">
        <f>HYPERLINK("https://www.oit.va.gov/Services/TRM/ToolPage.aspx?tid=10563^","PowerArchiver")</f>
        <v>PowerArchiver</v>
      </c>
      <c r="B1966" s="4" t="s">
        <v>5435</v>
      </c>
      <c r="C1966" s="8" t="s">
        <v>5</v>
      </c>
      <c r="D1966" s="11" t="s">
        <v>5436</v>
      </c>
    </row>
    <row r="1967" spans="1:4" ht="30">
      <c r="A1967" s="5" t="str">
        <f>HYPERLINK("https://www.oit.va.gov/Services/TRM/ToolPage.aspx?tid=8158^","CET Commercial Interiors")</f>
        <v>CET Commercial Interiors</v>
      </c>
      <c r="B1967" s="4" t="s">
        <v>616</v>
      </c>
      <c r="C1967" s="8" t="s">
        <v>5</v>
      </c>
      <c r="D1967" s="11" t="s">
        <v>617</v>
      </c>
    </row>
    <row r="1968" spans="1:4" ht="30">
      <c r="A1968" s="5" t="str">
        <f>HYPERLINK("https://www.oit.va.gov/Services/TRM/ToolPage.aspx?tid=15386^","Confluent Platform")</f>
        <v>Confluent Platform</v>
      </c>
      <c r="B1968" s="4" t="s">
        <v>3960</v>
      </c>
      <c r="C1968" s="8" t="s">
        <v>5</v>
      </c>
      <c r="D1968" s="11" t="s">
        <v>3961</v>
      </c>
    </row>
    <row r="1969" spans="1:4" ht="30">
      <c r="A1969" s="5" t="str">
        <f>HYPERLINK("https://www.oit.va.gov/Services/TRM/ToolPage.aspx?tid=13220^","Connectify Hotspot")</f>
        <v>Connectify Hotspot</v>
      </c>
      <c r="B1969" s="4" t="s">
        <v>7693</v>
      </c>
      <c r="C1969" s="8" t="s">
        <v>5</v>
      </c>
      <c r="D1969" s="11" t="s">
        <v>5802</v>
      </c>
    </row>
    <row r="1970" spans="1:4" ht="30">
      <c r="A1970" s="5" t="str">
        <f>HYPERLINK("https://www.oit.va.gov/Services/TRM/ToolPage.aspx?tid=11500^","Connectwise Control")</f>
        <v>Connectwise Control</v>
      </c>
      <c r="B1970" s="4" t="s">
        <v>5119</v>
      </c>
      <c r="C1970" s="8" t="s">
        <v>5</v>
      </c>
      <c r="D1970" s="11" t="s">
        <v>5120</v>
      </c>
    </row>
    <row r="1971" spans="1:4" ht="30">
      <c r="A1971" s="5" t="str">
        <f>HYPERLINK("https://www.oit.va.gov/Services/TRM/ToolPage.aspx?tid=10525^","Connexall")</f>
        <v>Connexall</v>
      </c>
      <c r="B1971" s="4" t="s">
        <v>3964</v>
      </c>
      <c r="C1971" s="8" t="s">
        <v>5</v>
      </c>
      <c r="D1971" s="11" t="s">
        <v>3965</v>
      </c>
    </row>
    <row r="1972" spans="1:4" ht="30">
      <c r="A1972" s="5" t="str">
        <f>HYPERLINK("https://www.oit.va.gov/Services/TRM/ToolPage.aspx?tid=10596^","VascuBase")</f>
        <v>VascuBase</v>
      </c>
      <c r="B1972" s="4" t="s">
        <v>3052</v>
      </c>
      <c r="C1972" s="8" t="s">
        <v>5</v>
      </c>
      <c r="D1972" s="11" t="s">
        <v>3053</v>
      </c>
    </row>
    <row r="1973" spans="1:4" ht="30">
      <c r="A1973" s="5" t="str">
        <f>HYPERLINK("https://www.oit.va.gov/Services/TRM/ToolPage.aspx?tid=16476^","VascuPro")</f>
        <v>VascuPro</v>
      </c>
      <c r="B1973" s="4" t="s">
        <v>3052</v>
      </c>
      <c r="C1973" s="8" t="s">
        <v>5</v>
      </c>
      <c r="D1973" s="11" t="s">
        <v>4518</v>
      </c>
    </row>
    <row r="1974" spans="1:4" ht="30">
      <c r="A1974" s="5" t="str">
        <f>HYPERLINK("https://www.oit.va.gov/Services/TRM/ToolPage.aspx?tid=11532^","Sustainment Management System (SMS) - RAILER")</f>
        <v>Sustainment Management System (SMS) - RAILER</v>
      </c>
      <c r="B1974" s="4" t="s">
        <v>7200</v>
      </c>
      <c r="C1974" s="8" t="s">
        <v>5</v>
      </c>
      <c r="D1974" s="11" t="s">
        <v>5541</v>
      </c>
    </row>
    <row r="1975" spans="1:4" ht="30">
      <c r="A1975" s="5" t="str">
        <f>HYPERLINK("https://www.oit.va.gov/Services/TRM/ToolPage.aspx?tid=11635^","Sustainment Management System (SMS) - PAVER")</f>
        <v>Sustainment Management System (SMS) - PAVER</v>
      </c>
      <c r="B1975" s="4" t="s">
        <v>7200</v>
      </c>
      <c r="C1975" s="8" t="s">
        <v>5</v>
      </c>
      <c r="D1975" s="11" t="s">
        <v>5541</v>
      </c>
    </row>
    <row r="1976" spans="1:4" ht="30">
      <c r="A1976" s="5" t="str">
        <f>HYPERLINK("https://www.oit.va.gov/Services/TRM/ToolPage.aspx?tid=13702^","ContactGenie Toolkit")</f>
        <v>ContactGenie Toolkit</v>
      </c>
      <c r="B1976" s="4" t="s">
        <v>7698</v>
      </c>
      <c r="C1976" s="8" t="s">
        <v>5</v>
      </c>
      <c r="D1976" s="11" t="s">
        <v>7699</v>
      </c>
    </row>
    <row r="1977" spans="1:4" ht="30">
      <c r="A1977" s="5" t="str">
        <f>HYPERLINK("https://www.oit.va.gov/Services/TRM/ToolPage.aspx?tid=13145^","Blood Oxygen Saturation (SpO2) Assistant")</f>
        <v>Blood Oxygen Saturation (SpO2) Assistant</v>
      </c>
      <c r="B1977" s="4" t="s">
        <v>5686</v>
      </c>
      <c r="C1977" s="8" t="s">
        <v>5</v>
      </c>
      <c r="D1977" s="11" t="s">
        <v>5687</v>
      </c>
    </row>
    <row r="1978" spans="1:4" ht="30">
      <c r="A1978" s="5" t="str">
        <f>HYPERLINK("https://www.oit.va.gov/Services/TRM/ToolPage.aspx?tid=15557^","ConTex Nextimage")</f>
        <v>ConTex Nextimage</v>
      </c>
      <c r="B1978" s="4" t="s">
        <v>3969</v>
      </c>
      <c r="C1978" s="8" t="s">
        <v>5</v>
      </c>
      <c r="D1978" s="11" t="s">
        <v>3970</v>
      </c>
    </row>
    <row r="1979" spans="1:4" ht="30">
      <c r="A1979" s="5" t="str">
        <f>HYPERLINK("https://www.oit.va.gov/Services/TRM/ToolPage.aspx?tid=13611^","WIDEsystem")</f>
        <v>WIDEsystem</v>
      </c>
      <c r="B1979" s="4" t="s">
        <v>3969</v>
      </c>
      <c r="C1979" s="8" t="s">
        <v>5</v>
      </c>
      <c r="D1979" s="11" t="s">
        <v>2369</v>
      </c>
    </row>
    <row r="1980" spans="1:4" ht="30">
      <c r="A1980" s="5" t="str">
        <f>HYPERLINK("https://www.oit.va.gov/Services/TRM/ToolPage.aspx?tid=13530^","JETimageNET")</f>
        <v>JETimageNET</v>
      </c>
      <c r="B1980" s="4" t="s">
        <v>3969</v>
      </c>
      <c r="C1980" s="8" t="s">
        <v>5</v>
      </c>
      <c r="D1980" s="11" t="s">
        <v>6233</v>
      </c>
    </row>
    <row r="1981" spans="1:4" ht="30">
      <c r="A1981" s="5" t="str">
        <f>HYPERLINK("https://www.oit.va.gov/Services/TRM/ToolPage.aspx?tid=13593^","ConText")</f>
        <v>ConText</v>
      </c>
      <c r="B1981" s="4" t="s">
        <v>6457</v>
      </c>
      <c r="C1981" s="8" t="s">
        <v>5</v>
      </c>
      <c r="D1981" s="11" t="s">
        <v>5664</v>
      </c>
    </row>
    <row r="1982" spans="1:4" ht="30">
      <c r="A1982" s="5" t="str">
        <f>HYPERLINK("https://www.oit.va.gov/Services/TRM/StandardPage.aspx?tid=6314^","Continua Health Alliance Design Guidelines")</f>
        <v>Continua Health Alliance Design Guidelines</v>
      </c>
      <c r="B1982" s="4" t="s">
        <v>5734</v>
      </c>
      <c r="C1982" s="8" t="s">
        <v>5</v>
      </c>
      <c r="D1982" s="11" t="s">
        <v>5735</v>
      </c>
    </row>
    <row r="1983" spans="1:4" ht="30">
      <c r="A1983" s="5" t="str">
        <f>HYPERLINK("https://www.oit.va.gov/Services/TRM/ToolPage.aspx?tid=15761^","ShuttlePRO v2")</f>
        <v>ShuttlePRO v2</v>
      </c>
      <c r="B1983" s="4" t="s">
        <v>8645</v>
      </c>
      <c r="C1983" s="8" t="s">
        <v>5</v>
      </c>
      <c r="D1983" s="11" t="s">
        <v>2930</v>
      </c>
    </row>
    <row r="1984" spans="1:4" ht="30">
      <c r="A1984" s="5" t="str">
        <f>HYPERLINK("https://www.oit.va.gov/Services/TRM/ToolPage.aspx?tid=8283^","ControlUp")</f>
        <v>ControlUp</v>
      </c>
      <c r="B1984" s="4" t="s">
        <v>150</v>
      </c>
      <c r="C1984" s="8" t="s">
        <v>5</v>
      </c>
      <c r="D1984" s="11" t="s">
        <v>151</v>
      </c>
    </row>
    <row r="1985" spans="1:4" ht="30">
      <c r="A1985" s="5" t="str">
        <f>HYPERLINK("https://www.oit.va.gov/Services/TRM/ToolPage.aspx?tid=13510^","LView Pro (LVP)")</f>
        <v>LView Pro (LVP)</v>
      </c>
      <c r="B1985" s="4" t="s">
        <v>3368</v>
      </c>
      <c r="C1985" s="8" t="s">
        <v>5</v>
      </c>
      <c r="D1985" s="11" t="s">
        <v>3369</v>
      </c>
    </row>
    <row r="1986" spans="1:4" ht="30">
      <c r="A1986" s="5" t="str">
        <f>HYPERLINK("https://www.oit.va.gov/Services/TRM/ToolPage.aspx?tid=8038^","TempTrak")</f>
        <v>TempTrak</v>
      </c>
      <c r="B1986" s="4" t="s">
        <v>4897</v>
      </c>
      <c r="C1986" s="8" t="s">
        <v>5</v>
      </c>
      <c r="D1986" s="11" t="s">
        <v>2820</v>
      </c>
    </row>
    <row r="1987" spans="1:4" ht="30">
      <c r="A1987" s="5" t="str">
        <f>HYPERLINK("https://www.oit.va.gov/Services/TRM/ToolPage.aspx?tid=10021^","Hazard Analysis Critical Control Points (HACCP) Manager")</f>
        <v>Hazard Analysis Critical Control Points (HACCP) Manager</v>
      </c>
      <c r="B1987" s="4" t="s">
        <v>2636</v>
      </c>
      <c r="C1987" s="8" t="s">
        <v>5</v>
      </c>
      <c r="D1987" s="11" t="s">
        <v>2637</v>
      </c>
    </row>
    <row r="1988" spans="1:4" ht="30">
      <c r="A1988" s="5" t="str">
        <f>HYPERLINK("https://www.oit.va.gov/Services/TRM/ToolPage.aspx?tid=13270^","Copernic Desktop Search")</f>
        <v>Copernic Desktop Search</v>
      </c>
      <c r="B1988" s="4" t="s">
        <v>6459</v>
      </c>
      <c r="C1988" s="8" t="s">
        <v>5</v>
      </c>
      <c r="D1988" s="11" t="s">
        <v>6460</v>
      </c>
    </row>
    <row r="1989" spans="1:4" ht="30">
      <c r="A1989" s="5" t="str">
        <f>HYPERLINK("https://www.oit.va.gov/Services/TRM/ToolPage.aspx?tid=10470^","CoreyPeriop")</f>
        <v>CoreyPeriop</v>
      </c>
      <c r="B1989" s="4" t="s">
        <v>1466</v>
      </c>
      <c r="C1989" s="8" t="s">
        <v>5</v>
      </c>
      <c r="D1989" s="11" t="s">
        <v>1467</v>
      </c>
    </row>
    <row r="1990" spans="1:4" ht="30">
      <c r="A1990" s="5" t="str">
        <f>HYPERLINK("https://www.oit.va.gov/Services/TRM/ToolPage.aspx?tid=15502^","Talon Desktop Client")</f>
        <v>Talon Desktop Client</v>
      </c>
      <c r="B1990" s="4" t="s">
        <v>1986</v>
      </c>
      <c r="C1990" s="8" t="s">
        <v>5</v>
      </c>
      <c r="D1990" s="11" t="s">
        <v>1987</v>
      </c>
    </row>
    <row r="1991" spans="1:4" ht="30">
      <c r="A1991" s="5" t="str">
        <f>HYPERLINK("https://www.oit.va.gov/Services/TRM/ToolPage.aspx?tid=13849^","DebugBar")</f>
        <v>DebugBar</v>
      </c>
      <c r="B1991" s="4" t="s">
        <v>3248</v>
      </c>
      <c r="C1991" s="8" t="s">
        <v>5</v>
      </c>
      <c r="D1991" s="11" t="s">
        <v>3249</v>
      </c>
    </row>
    <row r="1992" spans="1:4" ht="30">
      <c r="A1992" s="5" t="str">
        <f>HYPERLINK("https://www.oit.va.gov/Services/TRM/ToolPage.aspx?tid=11288^","VideoStudio")</f>
        <v>VideoStudio</v>
      </c>
      <c r="B1992" s="4" t="s">
        <v>5573</v>
      </c>
      <c r="C1992" s="8" t="s">
        <v>5</v>
      </c>
      <c r="D1992" s="11" t="s">
        <v>3086</v>
      </c>
    </row>
    <row r="1993" spans="1:4" ht="30">
      <c r="A1993" s="5" t="str">
        <f>HYPERLINK("https://www.oit.va.gov/Services/TRM/ToolPage.aspx?tid=15547^","Corel AfterShot")</f>
        <v>Corel AfterShot</v>
      </c>
      <c r="B1993" s="4" t="s">
        <v>5573</v>
      </c>
      <c r="C1993" s="8" t="s">
        <v>5</v>
      </c>
      <c r="D1993" s="11" t="s">
        <v>5736</v>
      </c>
    </row>
    <row r="1994" spans="1:4" ht="30">
      <c r="A1994" s="5" t="str">
        <f>HYPERLINK("https://www.oit.va.gov/Services/TRM/ToolPage.aspx?tid=14012^","Corel Connect")</f>
        <v>Corel Connect</v>
      </c>
      <c r="B1994" s="4" t="s">
        <v>5573</v>
      </c>
      <c r="C1994" s="8" t="s">
        <v>5</v>
      </c>
      <c r="D1994" s="11" t="s">
        <v>6462</v>
      </c>
    </row>
    <row r="1995" spans="1:4" ht="30">
      <c r="A1995" s="5" t="str">
        <f>HYPERLINK("https://www.oit.va.gov/Services/TRM/ToolPage.aspx?tid=6246^","Corel Painter Essentials")</f>
        <v>Corel Painter Essentials</v>
      </c>
      <c r="B1995" s="4" t="s">
        <v>5573</v>
      </c>
      <c r="C1995" s="8" t="s">
        <v>5</v>
      </c>
      <c r="D1995" s="11" t="s">
        <v>6463</v>
      </c>
    </row>
    <row r="1996" spans="1:4" ht="30">
      <c r="A1996" s="5" t="str">
        <f>HYPERLINK("https://www.oit.va.gov/Services/TRM/ToolPage.aspx?tid=10920^","PaintShop Pro")</f>
        <v>PaintShop Pro</v>
      </c>
      <c r="B1996" s="4" t="s">
        <v>5573</v>
      </c>
      <c r="C1996" s="8" t="s">
        <v>5</v>
      </c>
      <c r="D1996" s="11" t="s">
        <v>1068</v>
      </c>
    </row>
    <row r="1997" spans="1:4" ht="30">
      <c r="A1997" s="5" t="str">
        <f>HYPERLINK("https://www.oit.va.gov/Services/TRM/ToolPage.aspx?tid=5895^","Sonic CinePlayer")</f>
        <v>Sonic CinePlayer</v>
      </c>
      <c r="B1997" s="4" t="s">
        <v>5573</v>
      </c>
      <c r="C1997" s="8" t="s">
        <v>5</v>
      </c>
      <c r="D1997" s="11" t="s">
        <v>7162</v>
      </c>
    </row>
    <row r="1998" spans="1:4" ht="30">
      <c r="A1998" s="5" t="str">
        <f>HYPERLINK("https://www.oit.va.gov/Services/TRM/ToolPage.aspx?tid=5778^","WinDVD")</f>
        <v>WinDVD</v>
      </c>
      <c r="B1998" s="4" t="s">
        <v>5573</v>
      </c>
      <c r="C1998" s="8" t="s">
        <v>5</v>
      </c>
      <c r="D1998" s="11" t="s">
        <v>3086</v>
      </c>
    </row>
    <row r="1999" spans="1:4" ht="30">
      <c r="A1999" s="5" t="str">
        <f>HYPERLINK("https://www.oit.va.gov/Services/TRM/ToolPage.aspx?tid=12986^","Animation Shop")</f>
        <v>Animation Shop</v>
      </c>
      <c r="B1999" s="4" t="s">
        <v>5573</v>
      </c>
      <c r="C1999" s="8" t="s">
        <v>5</v>
      </c>
      <c r="D1999" s="11" t="s">
        <v>7265</v>
      </c>
    </row>
    <row r="2000" spans="1:4" ht="30">
      <c r="A2000" s="5" t="str">
        <f>HYPERLINK("https://www.oit.va.gov/Services/TRM/ToolPage.aspx?tid=11103^","Corel Website Creator")</f>
        <v>Corel Website Creator</v>
      </c>
      <c r="B2000" s="4" t="s">
        <v>5573</v>
      </c>
      <c r="C2000" s="8" t="s">
        <v>5</v>
      </c>
      <c r="D2000" s="11" t="s">
        <v>7706</v>
      </c>
    </row>
    <row r="2001" spans="1:4" ht="30">
      <c r="A2001" s="5" t="str">
        <f>HYPERLINK("https://www.oit.va.gov/Services/TRM/ToolPage.aspx?tid=13997^","Easy CD and DVD Burning")</f>
        <v>Easy CD and DVD Burning</v>
      </c>
      <c r="B2001" s="4" t="s">
        <v>5573</v>
      </c>
      <c r="C2001" s="8" t="s">
        <v>5</v>
      </c>
      <c r="D2001" s="11" t="s">
        <v>7753</v>
      </c>
    </row>
    <row r="2002" spans="1:4" ht="30">
      <c r="A2002" s="5" t="str">
        <f>HYPERLINK("https://www.oit.va.gov/Services/TRM/ToolPage.aspx?tid=10425^","Express Labeler")</f>
        <v>Express Labeler</v>
      </c>
      <c r="B2002" s="4" t="s">
        <v>5573</v>
      </c>
      <c r="C2002" s="8" t="s">
        <v>5</v>
      </c>
      <c r="D2002" s="11" t="s">
        <v>3112</v>
      </c>
    </row>
    <row r="2003" spans="1:4" ht="30">
      <c r="A2003" s="5" t="str">
        <f>HYPERLINK("https://www.oit.va.gov/Services/TRM/ToolPage.aspx?tid=14011^","PhotoImpact")</f>
        <v>PhotoImpact</v>
      </c>
      <c r="B2003" s="4" t="s">
        <v>5573</v>
      </c>
      <c r="C2003" s="8" t="s">
        <v>5</v>
      </c>
      <c r="D2003" s="11" t="s">
        <v>8429</v>
      </c>
    </row>
    <row r="2004" spans="1:4" ht="30">
      <c r="A2004" s="5" t="str">
        <f>HYPERLINK("https://www.oit.va.gov/Services/TRM/ToolPage.aspx?tid=7932^","Quattro Pro")</f>
        <v>Quattro Pro</v>
      </c>
      <c r="B2004" s="4" t="s">
        <v>5573</v>
      </c>
      <c r="C2004" s="8" t="s">
        <v>5</v>
      </c>
      <c r="D2004" s="11" t="s">
        <v>7007</v>
      </c>
    </row>
    <row r="2005" spans="1:4" ht="30">
      <c r="A2005" s="5" t="str">
        <f>HYPERLINK("https://www.oit.va.gov/Services/TRM/ToolPage.aspx?tid=8649^","Roxio Toast")</f>
        <v>Roxio Toast</v>
      </c>
      <c r="B2005" s="4" t="s">
        <v>5573</v>
      </c>
      <c r="C2005" s="8" t="s">
        <v>5</v>
      </c>
      <c r="D2005" s="11" t="s">
        <v>1535</v>
      </c>
    </row>
    <row r="2006" spans="1:4" ht="30">
      <c r="A2006" s="5" t="str">
        <f>HYPERLINK("https://www.oit.va.gov/Services/TRM/ToolPage.aspx?tid=13516^","WinZip Courier")</f>
        <v>WinZip Courier</v>
      </c>
      <c r="B2006" s="4" t="s">
        <v>5573</v>
      </c>
      <c r="C2006" s="8" t="s">
        <v>5</v>
      </c>
      <c r="D2006" s="11" t="s">
        <v>6406</v>
      </c>
    </row>
    <row r="2007" spans="1:4" ht="30">
      <c r="A2007" s="5" t="str">
        <f>HYPERLINK("https://www.oit.va.gov/Services/TRM/ToolPage.aspx?tid=13500^","WinZip Driver Updater")</f>
        <v>WinZip Driver Updater</v>
      </c>
      <c r="B2007" s="4" t="s">
        <v>5573</v>
      </c>
      <c r="C2007" s="8" t="s">
        <v>5</v>
      </c>
      <c r="D2007" s="11" t="s">
        <v>7406</v>
      </c>
    </row>
    <row r="2008" spans="1:4" ht="30">
      <c r="A2008" s="5" t="str">
        <f>HYPERLINK("https://www.oit.va.gov/Services/TRM/ToolPage.aspx?tid=7933^","WordPerfect")</f>
        <v>WordPerfect</v>
      </c>
      <c r="B2008" s="4" t="s">
        <v>5573</v>
      </c>
      <c r="C2008" s="8" t="s">
        <v>5</v>
      </c>
      <c r="D2008" s="11" t="s">
        <v>6901</v>
      </c>
    </row>
    <row r="2009" spans="1:4" ht="30">
      <c r="A2009" s="5" t="str">
        <f>HYPERLINK("https://www.oit.va.gov/Services/TRM/ToolPage.aspx?tid=5595^","CorelDRAW")</f>
        <v>CorelDRAW</v>
      </c>
      <c r="B2009" s="4" t="s">
        <v>1463</v>
      </c>
      <c r="C2009" s="8" t="s">
        <v>5</v>
      </c>
      <c r="D2009" s="11" t="s">
        <v>1403</v>
      </c>
    </row>
    <row r="2010" spans="1:4" ht="30">
      <c r="A2010" s="5" t="str">
        <f>HYPERLINK("https://www.oit.va.gov/Services/TRM/ToolPage.aspx?tid=15934^","Pinnacle Studio")</f>
        <v>Pinnacle Studio</v>
      </c>
      <c r="B2010" s="4" t="s">
        <v>1463</v>
      </c>
      <c r="C2010" s="8" t="s">
        <v>5</v>
      </c>
      <c r="D2010" s="11" t="s">
        <v>4608</v>
      </c>
    </row>
    <row r="2011" spans="1:4" ht="30">
      <c r="A2011" s="5" t="str">
        <f>HYPERLINK("https://www.oit.va.gov/Services/TRM/ToolPage.aspx?tid=11003^","BackOnTrack")</f>
        <v>BackOnTrack</v>
      </c>
      <c r="B2011" s="4" t="s">
        <v>1463</v>
      </c>
      <c r="C2011" s="8" t="s">
        <v>5</v>
      </c>
      <c r="D2011" s="11" t="s">
        <v>7532</v>
      </c>
    </row>
    <row r="2012" spans="1:4" ht="30">
      <c r="A2012" s="5" t="str">
        <f>HYPERLINK("https://www.oit.va.gov/Services/TRM/ToolPage.aspx?tid=15872^","Corelight Fleet Manager")</f>
        <v>Corelight Fleet Manager</v>
      </c>
      <c r="B2012" s="4" t="s">
        <v>1464</v>
      </c>
      <c r="C2012" s="8" t="s">
        <v>5</v>
      </c>
      <c r="D2012" s="11" t="s">
        <v>1465</v>
      </c>
    </row>
    <row r="2013" spans="1:4" ht="30">
      <c r="A2013" s="5" t="str">
        <f>HYPERLINK("https://www.oit.va.gov/Services/TRM/ToolPage.aspx?tid=15873^","Corelight Software Sensor")</f>
        <v>Corelight Software Sensor</v>
      </c>
      <c r="B2013" s="4" t="s">
        <v>1464</v>
      </c>
      <c r="C2013" s="8" t="s">
        <v>5</v>
      </c>
      <c r="D2013" s="11" t="s">
        <v>248</v>
      </c>
    </row>
    <row r="2014" spans="1:4" ht="30">
      <c r="A2014" s="5" t="str">
        <f>HYPERLINK("https://www.oit.va.gov/Services/TRM/ToolPage.aspx?tid=11438^","Container Linux")</f>
        <v>Container Linux</v>
      </c>
      <c r="B2014" s="4" t="s">
        <v>6455</v>
      </c>
      <c r="C2014" s="8" t="s">
        <v>5</v>
      </c>
      <c r="D2014" s="11" t="s">
        <v>6456</v>
      </c>
    </row>
    <row r="2015" spans="1:4" ht="30">
      <c r="A2015" s="5" t="str">
        <f>HYPERLINK("https://www.oit.va.gov/Services/TRM/ToolPage.aspx?tid=11475^","Tectonic Installer")</f>
        <v>Tectonic Installer</v>
      </c>
      <c r="B2015" s="4" t="s">
        <v>6455</v>
      </c>
      <c r="C2015" s="8" t="s">
        <v>5</v>
      </c>
      <c r="D2015" s="11" t="s">
        <v>5507</v>
      </c>
    </row>
    <row r="2016" spans="1:4" ht="30">
      <c r="A2016" s="5" t="str">
        <f>HYPERLINK("https://www.oit.va.gov/Services/TRM/ToolPage.aspx?tid=16006^","Node Version Manager (NVM) for Windows")</f>
        <v>Node Version Manager (NVM) for Windows</v>
      </c>
      <c r="B2016" s="4" t="s">
        <v>6943</v>
      </c>
      <c r="C2016" s="8" t="s">
        <v>5</v>
      </c>
      <c r="D2016" s="11" t="s">
        <v>6944</v>
      </c>
    </row>
    <row r="2017" spans="1:4" ht="30">
      <c r="A2017" s="5" t="str">
        <f>HYPERLINK("https://www.oit.va.gov/Services/TRM/ToolPage.aspx?tid=16742^","Cority GX2")</f>
        <v>Cority GX2</v>
      </c>
      <c r="B2017" s="4" t="s">
        <v>5738</v>
      </c>
      <c r="C2017" s="8" t="s">
        <v>5</v>
      </c>
      <c r="D2017" s="11" t="s">
        <v>3942</v>
      </c>
    </row>
    <row r="2018" spans="1:4" ht="30">
      <c r="A2018" s="5" t="str">
        <f>HYPERLINK("https://www.oit.va.gov/Services/TRM/ToolPage.aspx?tid=10088^","Cormant-CS")</f>
        <v>Cormant-CS</v>
      </c>
      <c r="B2018" s="4" t="s">
        <v>3230</v>
      </c>
      <c r="C2018" s="8" t="s">
        <v>5</v>
      </c>
      <c r="D2018" s="11" t="s">
        <v>3231</v>
      </c>
    </row>
    <row r="2019" spans="1:4" ht="30">
      <c r="A2019" s="5" t="str">
        <f>HYPERLINK("https://www.oit.va.gov/Services/TRM/ToolPage.aspx?tid=7542^","Zotero")</f>
        <v>Zotero</v>
      </c>
      <c r="B2019" s="4" t="s">
        <v>3100</v>
      </c>
      <c r="C2019" s="8" t="s">
        <v>5</v>
      </c>
      <c r="D2019" s="11" t="s">
        <v>3101</v>
      </c>
    </row>
    <row r="2020" spans="1:4" ht="30">
      <c r="A2020" s="5" t="str">
        <f>HYPERLINK("https://www.oit.va.gov/Services/TRM/ToolPage.aspx?tid=16026^","Elgato Stream Deck")</f>
        <v>Elgato Stream Deck</v>
      </c>
      <c r="B2020" s="4" t="s">
        <v>981</v>
      </c>
      <c r="C2020" s="8" t="s">
        <v>5</v>
      </c>
      <c r="D2020" s="11" t="s">
        <v>982</v>
      </c>
    </row>
    <row r="2021" spans="1:4" ht="30">
      <c r="A2021" s="5" t="str">
        <f>HYPERLINK("https://www.oit.va.gov/Services/TRM/ToolPage.aspx?tid=15820^","CT-CoPilot")</f>
        <v>CT-CoPilot</v>
      </c>
      <c r="B2021" s="4" t="s">
        <v>3233</v>
      </c>
      <c r="C2021" s="8" t="s">
        <v>5</v>
      </c>
      <c r="D2021" s="11" t="s">
        <v>3234</v>
      </c>
    </row>
    <row r="2022" spans="1:4" ht="30">
      <c r="A2022" s="5" t="str">
        <f>HYPERLINK("https://www.oit.va.gov/Services/TRM/ToolPage.aspx?tid=15103^","Omnia")</f>
        <v>Omnia</v>
      </c>
      <c r="B2022" s="4" t="s">
        <v>4535</v>
      </c>
      <c r="C2022" s="8" t="s">
        <v>5</v>
      </c>
      <c r="D2022" s="11" t="s">
        <v>4022</v>
      </c>
    </row>
    <row r="2023" spans="1:4" ht="30">
      <c r="A2023" s="5" t="str">
        <f>HYPERLINK("https://www.oit.va.gov/Services/TRM/ToolPage.aspx?tid=14800^","Cosmic Software")</f>
        <v>Cosmic Software</v>
      </c>
      <c r="B2023" s="4" t="s">
        <v>7707</v>
      </c>
      <c r="C2023" s="8" t="s">
        <v>5</v>
      </c>
      <c r="D2023" s="11" t="s">
        <v>3882</v>
      </c>
    </row>
    <row r="2024" spans="1:4" ht="30">
      <c r="A2024" s="5" t="str">
        <f>HYPERLINK("https://www.oit.va.gov/Services/TRM/ToolPage.aspx?tid=15711^","COMSOL Multiphysics")</f>
        <v>COMSOL Multiphysics</v>
      </c>
      <c r="B2024" s="4" t="s">
        <v>2487</v>
      </c>
      <c r="C2024" s="8" t="s">
        <v>5</v>
      </c>
      <c r="D2024" s="11" t="s">
        <v>2488</v>
      </c>
    </row>
    <row r="2025" spans="1:4" ht="30">
      <c r="A2025" s="5" t="str">
        <f>HYPERLINK("https://www.oit.va.gov/Services/TRM/ToolPage.aspx?tid=13617^","Couchbase Server Enterprise Edition")</f>
        <v>Couchbase Server Enterprise Edition</v>
      </c>
      <c r="B2025" s="4" t="s">
        <v>6465</v>
      </c>
      <c r="C2025" s="8" t="s">
        <v>5</v>
      </c>
      <c r="D2025" s="11" t="s">
        <v>6466</v>
      </c>
    </row>
    <row r="2026" spans="1:4" ht="30">
      <c r="A2026" s="5" t="str">
        <f>HYPERLINK("https://www.oit.va.gov/Services/TRM/ToolPage.aspx?tid=14125^","Gemini")</f>
        <v>Gemini</v>
      </c>
      <c r="B2026" s="4" t="s">
        <v>5209</v>
      </c>
      <c r="C2026" s="8" t="s">
        <v>5</v>
      </c>
      <c r="D2026" s="11" t="s">
        <v>5210</v>
      </c>
    </row>
    <row r="2027" spans="1:4" ht="30">
      <c r="A2027" s="5" t="str">
        <f>HYPERLINK("https://www.oit.va.gov/Services/TRM/ToolPage.aspx?tid=16662^","COZYROC")</f>
        <v>COZYROC</v>
      </c>
      <c r="B2027" s="4" t="s">
        <v>3977</v>
      </c>
      <c r="C2027" s="8" t="s">
        <v>5</v>
      </c>
      <c r="D2027" s="11" t="s">
        <v>3978</v>
      </c>
    </row>
    <row r="2028" spans="1:4" ht="30">
      <c r="A2028" s="5" t="str">
        <f>HYPERLINK("https://www.oit.va.gov/Services/TRM/ToolPage.aspx?tid=9729^","C-Pen Core")</f>
        <v>C-Pen Core</v>
      </c>
      <c r="B2028" s="4" t="s">
        <v>7708</v>
      </c>
      <c r="C2028" s="8" t="s">
        <v>5</v>
      </c>
      <c r="D2028" s="11" t="s">
        <v>7709</v>
      </c>
    </row>
    <row r="2029" spans="1:4" ht="30">
      <c r="A2029" s="5" t="str">
        <f>HYPERLINK("https://www.oit.va.gov/Services/TRM/ToolPage.aspx?tid=13643^","Password Manager eXtra Protection (XP)")</f>
        <v>Password Manager eXtra Protection (XP)</v>
      </c>
      <c r="B2029" s="4" t="s">
        <v>8398</v>
      </c>
      <c r="C2029" s="8" t="s">
        <v>5</v>
      </c>
      <c r="D2029" s="11" t="s">
        <v>3138</v>
      </c>
    </row>
    <row r="2030" spans="1:4" ht="30">
      <c r="A2030" s="5" t="str">
        <f>HYPERLINK("https://www.oit.va.gov/Services/TRM/ToolPage.aspx?tid=9603^","Thrive Electronic Health Record (EHR)")</f>
        <v>Thrive Electronic Health Record (EHR)</v>
      </c>
      <c r="B2030" s="4" t="s">
        <v>8804</v>
      </c>
      <c r="C2030" s="8" t="s">
        <v>5</v>
      </c>
      <c r="D2030" s="11" t="s">
        <v>8805</v>
      </c>
    </row>
    <row r="2031" spans="1:4" ht="30">
      <c r="A2031" s="5" t="str">
        <f>HYPERLINK("https://www.oit.va.gov/Services/TRM/ToolPage.aspx?tid=10922^","CPU-Z")</f>
        <v>CPU-Z</v>
      </c>
      <c r="B2031" s="4" t="s">
        <v>5121</v>
      </c>
      <c r="C2031" s="8" t="s">
        <v>5</v>
      </c>
      <c r="D2031" s="11" t="s">
        <v>519</v>
      </c>
    </row>
    <row r="2032" spans="1:4" ht="30">
      <c r="A2032" s="5" t="str">
        <f>HYPERLINK("https://www.oit.va.gov/Services/TRM/ToolPage.aspx?tid=11419^","HWMonitor")</f>
        <v>HWMonitor</v>
      </c>
      <c r="B2032" s="4" t="s">
        <v>5121</v>
      </c>
      <c r="C2032" s="8" t="s">
        <v>5</v>
      </c>
      <c r="D2032" s="11" t="s">
        <v>5862</v>
      </c>
    </row>
    <row r="2033" spans="1:4" ht="30">
      <c r="A2033" s="5" t="str">
        <f>HYPERLINK("https://www.oit.va.gov/Services/TRM/ToolPage.aspx?tid=11577^","VendMAX")</f>
        <v>VendMAX</v>
      </c>
      <c r="B2033" s="4" t="s">
        <v>8866</v>
      </c>
      <c r="C2033" s="8" t="s">
        <v>5</v>
      </c>
      <c r="D2033" s="11" t="s">
        <v>6121</v>
      </c>
    </row>
    <row r="2034" spans="1:4" ht="30">
      <c r="A2034" s="5" t="str">
        <f>HYPERLINK("https://www.oit.va.gov/Services/TRM/ToolPage.aspx?tid=13536^","VXelements")</f>
        <v>VXelements</v>
      </c>
      <c r="B2034" s="4" t="s">
        <v>8898</v>
      </c>
      <c r="C2034" s="8" t="s">
        <v>5</v>
      </c>
      <c r="D2034" s="11" t="s">
        <v>8827</v>
      </c>
    </row>
    <row r="2035" spans="1:4" ht="30">
      <c r="A2035" s="5" t="str">
        <f>HYPERLINK("https://www.oit.va.gov/Services/TRM/ToolPage.aspx?tid=16468^","Rhino")</f>
        <v>Rhino</v>
      </c>
      <c r="B2035" s="4" t="s">
        <v>4742</v>
      </c>
      <c r="C2035" s="8" t="s">
        <v>5</v>
      </c>
      <c r="D2035" s="11" t="s">
        <v>1730</v>
      </c>
    </row>
    <row r="2036" spans="1:4" ht="30">
      <c r="A2036" s="5" t="str">
        <f>HYPERLINK("https://www.oit.va.gov/Services/TRM/ToolPage.aspx?tid=8996^","F-Scale Signage Software")</f>
        <v>F-Scale Signage Software</v>
      </c>
      <c r="B2036" s="4" t="s">
        <v>7962</v>
      </c>
      <c r="C2036" s="8" t="s">
        <v>5</v>
      </c>
      <c r="D2036" s="11" t="s">
        <v>3170</v>
      </c>
    </row>
    <row r="2037" spans="1:4" ht="30">
      <c r="A2037" s="5" t="str">
        <f>HYPERLINK("https://www.oit.va.gov/Services/TRM/ToolPage.aspx?tid=13648^","Live! Cam Avatar Creator")</f>
        <v>Live! Cam Avatar Creator</v>
      </c>
      <c r="B2037" s="4" t="s">
        <v>8184</v>
      </c>
      <c r="C2037" s="8" t="s">
        <v>5</v>
      </c>
      <c r="D2037" s="11" t="s">
        <v>6837</v>
      </c>
    </row>
    <row r="2038" spans="1:4" ht="30">
      <c r="A2038" s="5" t="str">
        <f>HYPERLINK("https://www.oit.va.gov/Services/TRM/ToolPage.aspx?tid=9559^","AirMedia Client Application")</f>
        <v>AirMedia Client Application</v>
      </c>
      <c r="B2038" s="4" t="s">
        <v>3722</v>
      </c>
      <c r="C2038" s="8" t="s">
        <v>5</v>
      </c>
      <c r="D2038" s="11" t="s">
        <v>670</v>
      </c>
    </row>
    <row r="2039" spans="1:4" ht="30">
      <c r="A2039" s="5" t="str">
        <f>HYPERLINK("https://www.oit.va.gov/Services/TRM/ToolPage.aspx?tid=14682^","Crestron Fusion")</f>
        <v>Crestron Fusion</v>
      </c>
      <c r="B2039" s="4" t="s">
        <v>3722</v>
      </c>
      <c r="C2039" s="8" t="s">
        <v>5</v>
      </c>
      <c r="D2039" s="11" t="s">
        <v>3979</v>
      </c>
    </row>
    <row r="2040" spans="1:4" ht="30">
      <c r="A2040" s="5" t="str">
        <f>HYPERLINK("https://www.oit.va.gov/Services/TRM/ToolPage.aspx?tid=13074^","Crestron Toolbox")</f>
        <v>Crestron Toolbox</v>
      </c>
      <c r="B2040" s="4" t="s">
        <v>3722</v>
      </c>
      <c r="C2040" s="8" t="s">
        <v>5</v>
      </c>
      <c r="D2040" s="11" t="s">
        <v>973</v>
      </c>
    </row>
    <row r="2041" spans="1:4" ht="30">
      <c r="A2041" s="5" t="str">
        <f>HYPERLINK("https://www.oit.va.gov/Services/TRM/ToolPage.aspx?tid=8411^","Fusion Cloud")</f>
        <v>Fusion Cloud</v>
      </c>
      <c r="B2041" s="4" t="s">
        <v>3722</v>
      </c>
      <c r="C2041" s="8" t="s">
        <v>5</v>
      </c>
      <c r="D2041" s="11" t="s">
        <v>4164</v>
      </c>
    </row>
    <row r="2042" spans="1:4" ht="30">
      <c r="A2042" s="5" t="str">
        <f>HYPERLINK("https://www.oit.va.gov/Services/TRM/ToolPage.aspx?tid=13126^","XPanel")</f>
        <v>XPanel</v>
      </c>
      <c r="B2042" s="4" t="s">
        <v>3722</v>
      </c>
      <c r="C2042" s="8" t="s">
        <v>5</v>
      </c>
      <c r="D2042" s="11" t="s">
        <v>5009</v>
      </c>
    </row>
    <row r="2043" spans="1:4" ht="30">
      <c r="A2043" s="5" t="str">
        <f>HYPERLINK("https://www.oit.va.gov/Services/TRM/ToolPage.aspx?tid=16145^","Cribl Stream")</f>
        <v>Cribl Stream</v>
      </c>
      <c r="B2043" s="4" t="s">
        <v>3980</v>
      </c>
      <c r="C2043" s="8" t="s">
        <v>5</v>
      </c>
      <c r="D2043" s="11" t="s">
        <v>3981</v>
      </c>
    </row>
    <row r="2044" spans="1:4" ht="30">
      <c r="A2044" s="5" t="str">
        <f>HYPERLINK("https://www.oit.va.gov/Services/TRM/ToolPage.aspx?tid=11004^","Cricut Design Space")</f>
        <v>Cricut Design Space</v>
      </c>
      <c r="B2044" s="4" t="s">
        <v>1468</v>
      </c>
      <c r="C2044" s="8" t="s">
        <v>5</v>
      </c>
      <c r="D2044" s="11" t="s">
        <v>1469</v>
      </c>
    </row>
    <row r="2045" spans="1:4" ht="30">
      <c r="A2045" s="5" t="str">
        <f>HYPERLINK("https://www.oit.va.gov/Services/TRM/ToolPage.aspx?tid=6749^","Work Breakdown Structure (WBS) Schedule Pro")</f>
        <v>Work Breakdown Structure (WBS) Schedule Pro</v>
      </c>
      <c r="B2045" s="4" t="s">
        <v>1131</v>
      </c>
      <c r="C2045" s="8" t="s">
        <v>5</v>
      </c>
      <c r="D2045" s="11" t="s">
        <v>373</v>
      </c>
    </row>
    <row r="2046" spans="1:4" ht="30">
      <c r="A2046" s="5" t="str">
        <f>HYPERLINK("https://www.oit.va.gov/Services/TRM/ToolPage.aspx?tid=10386^","Livescan Management Software (LSMS)")</f>
        <v>Livescan Management Software (LSMS)</v>
      </c>
      <c r="B2046" s="4" t="s">
        <v>5917</v>
      </c>
      <c r="C2046" s="8" t="s">
        <v>5</v>
      </c>
      <c r="D2046" s="11" t="s">
        <v>2430</v>
      </c>
    </row>
    <row r="2047" spans="1:4" ht="30">
      <c r="A2047" s="5" t="str">
        <f>HYPERLINK("https://www.oit.va.gov/Services/TRM/ToolPage.aspx?tid=16516^","Crowdstrike Falcon Sensor")</f>
        <v>Crowdstrike Falcon Sensor</v>
      </c>
      <c r="B2047" s="4" t="s">
        <v>5740</v>
      </c>
      <c r="C2047" s="8" t="s">
        <v>5</v>
      </c>
      <c r="D2047" s="11" t="s">
        <v>3869</v>
      </c>
    </row>
    <row r="2048" spans="1:4" ht="30">
      <c r="A2048" s="5" t="str">
        <f>HYPERLINK("https://www.oit.va.gov/Services/TRM/ToolPage.aspx?tid=13769^","Strength Deployment Inventory (SDI) Platform")</f>
        <v>Strength Deployment Inventory (SDI) Platform</v>
      </c>
      <c r="B2048" s="4" t="s">
        <v>4863</v>
      </c>
      <c r="C2048" s="8" t="s">
        <v>5</v>
      </c>
      <c r="D2048" s="11" t="s">
        <v>4864</v>
      </c>
    </row>
    <row r="2049" spans="1:4" ht="30">
      <c r="A2049" s="5" t="str">
        <f>HYPERLINK("https://www.oit.va.gov/Services/TRM/ToolPage.aspx?tid=15106^","Strength Deployment Inventory (SDI) Presenter")</f>
        <v>Strength Deployment Inventory (SDI) Presenter</v>
      </c>
      <c r="B2049" s="4" t="s">
        <v>4863</v>
      </c>
      <c r="C2049" s="8" t="s">
        <v>5</v>
      </c>
      <c r="D2049" s="11" t="s">
        <v>2008</v>
      </c>
    </row>
    <row r="2050" spans="1:4" ht="30">
      <c r="A2050" s="5" t="str">
        <f>HYPERLINK("https://www.oit.va.gov/Services/TRM/ToolPage.aspx?tid=10181^","csCoder")</f>
        <v>csCoder</v>
      </c>
      <c r="B2050" s="4" t="s">
        <v>293</v>
      </c>
      <c r="C2050" s="8" t="s">
        <v>5</v>
      </c>
      <c r="D2050" s="11" t="s">
        <v>294</v>
      </c>
    </row>
    <row r="2051" spans="1:4" ht="30">
      <c r="A2051" s="5" t="str">
        <f>HYPERLINK("https://www.oit.va.gov/Services/TRM/ToolPage.aspx?tid=7077^","CruiseControl.NET")</f>
        <v>CruiseControl.NET</v>
      </c>
      <c r="B2051" s="4" t="s">
        <v>25</v>
      </c>
      <c r="C2051" s="8" t="s">
        <v>5</v>
      </c>
      <c r="D2051" s="11" t="s">
        <v>26</v>
      </c>
    </row>
    <row r="2052" spans="1:4" ht="30">
      <c r="A2052" s="5" t="str">
        <f>HYPERLINK("https://www.oit.va.gov/Services/TRM/ToolPage.aspx?tid=186^","CruiseControl")</f>
        <v>CruiseControl</v>
      </c>
      <c r="B2052" s="4" t="s">
        <v>25</v>
      </c>
      <c r="C2052" s="8" t="s">
        <v>5</v>
      </c>
      <c r="D2052" s="11" t="s">
        <v>633</v>
      </c>
    </row>
    <row r="2053" spans="1:4" ht="30">
      <c r="A2053" s="5" t="str">
        <f>HYPERLINK("https://www.oit.va.gov/Services/TRM/ToolPage.aspx?tid=7078^","CruiseControl.NET (CC) Tray")</f>
        <v>CruiseControl.NET (CC) Tray</v>
      </c>
      <c r="B2053" s="4" t="s">
        <v>25</v>
      </c>
      <c r="C2053" s="8" t="s">
        <v>5</v>
      </c>
      <c r="D2053" s="11" t="s">
        <v>2490</v>
      </c>
    </row>
    <row r="2054" spans="1:4" ht="30">
      <c r="A2054" s="5" t="str">
        <f>HYPERLINK("https://www.oit.va.gov/Services/TRM/ToolPage.aspx?tid=10309^","Beautiful Soup")</f>
        <v>Beautiful Soup</v>
      </c>
      <c r="B2054" s="4" t="s">
        <v>6336</v>
      </c>
      <c r="C2054" s="8" t="s">
        <v>5</v>
      </c>
      <c r="D2054" s="11" t="s">
        <v>6337</v>
      </c>
    </row>
    <row r="2055" spans="1:4" ht="30">
      <c r="A2055" s="5" t="str">
        <f>HYPERLINK("https://www.oit.va.gov/Services/TRM/ToolPage.aspx?tid=10893^","Escort Console Pro")</f>
        <v>Escort Console Pro</v>
      </c>
      <c r="B2055" s="4" t="s">
        <v>6587</v>
      </c>
      <c r="C2055" s="8" t="s">
        <v>5</v>
      </c>
      <c r="D2055" s="11" t="s">
        <v>5818</v>
      </c>
    </row>
    <row r="2056" spans="1:4" ht="30">
      <c r="A2056" s="5" t="str">
        <f>HYPERLINK("https://www.oit.va.gov/Services/TRM/ToolPage.aspx?tid=16438^","Somnoware Device Interface (SDI)")</f>
        <v>Somnoware Device Interface (SDI)</v>
      </c>
      <c r="B2056" s="4" t="s">
        <v>6078</v>
      </c>
      <c r="C2056" s="8" t="s">
        <v>5</v>
      </c>
      <c r="D2056" s="11" t="s">
        <v>3943</v>
      </c>
    </row>
    <row r="2057" spans="1:4" ht="30">
      <c r="A2057" s="5" t="str">
        <f>HYPERLINK("https://www.oit.va.gov/Services/TRM/ToolPage.aspx?tid=13803^","CrystalDiskMark")</f>
        <v>CrystalDiskMark</v>
      </c>
      <c r="B2057" s="4" t="s">
        <v>3984</v>
      </c>
      <c r="C2057" s="8" t="s">
        <v>5</v>
      </c>
      <c r="D2057" s="11" t="s">
        <v>1959</v>
      </c>
    </row>
    <row r="2058" spans="1:4" ht="30">
      <c r="A2058" s="5" t="str">
        <f>HYPERLINK("https://www.oit.va.gov/Services/TRM/ToolPage.aspx?tid=13723^","LockHunter")</f>
        <v>LockHunter</v>
      </c>
      <c r="B2058" s="4" t="s">
        <v>8187</v>
      </c>
      <c r="C2058" s="8" t="s">
        <v>5</v>
      </c>
      <c r="D2058" s="11" t="s">
        <v>8188</v>
      </c>
    </row>
    <row r="2059" spans="1:4" ht="30">
      <c r="A2059" s="5" t="str">
        <f>HYPERLINK("https://www.oit.va.gov/Services/TRM/ToolPage.aspx?tid=13897^","TERMIUS")</f>
        <v>TERMIUS</v>
      </c>
      <c r="B2059" s="4" t="s">
        <v>7222</v>
      </c>
      <c r="C2059" s="8" t="s">
        <v>5</v>
      </c>
      <c r="D2059" s="11" t="s">
        <v>7223</v>
      </c>
    </row>
    <row r="2060" spans="1:4" ht="30">
      <c r="A2060" s="5" t="str">
        <f>HYPERLINK("https://www.oit.va.gov/Services/TRM/ToolPage.aspx?tid=15549^","HemaLog")</f>
        <v>HemaLog</v>
      </c>
      <c r="B2060" s="4" t="s">
        <v>4223</v>
      </c>
      <c r="C2060" s="8" t="s">
        <v>5</v>
      </c>
      <c r="D2060" s="11" t="s">
        <v>2852</v>
      </c>
    </row>
    <row r="2061" spans="1:4" ht="30">
      <c r="A2061" s="5" t="str">
        <f>HYPERLINK("https://www.oit.va.gov/Services/TRM/ToolPage.aspx?tid=193^","ComponentSoftware Diff (CSDiff)")</f>
        <v>ComponentSoftware Diff (CSDiff)</v>
      </c>
      <c r="B2061" s="4" t="s">
        <v>7686</v>
      </c>
      <c r="C2061" s="8" t="s">
        <v>5</v>
      </c>
      <c r="D2061" s="11" t="s">
        <v>7687</v>
      </c>
    </row>
    <row r="2062" spans="1:4" ht="30">
      <c r="A2062" s="5" t="str">
        <f>HYPERLINK("https://www.oit.va.gov/Services/TRM/ToolPage.aspx?tid=7797^","Cucumber Open")</f>
        <v>Cucumber Open</v>
      </c>
      <c r="B2062" s="4" t="s">
        <v>960</v>
      </c>
      <c r="C2062" s="8" t="s">
        <v>5</v>
      </c>
      <c r="D2062" s="11" t="s">
        <v>961</v>
      </c>
    </row>
    <row r="2063" spans="1:4" ht="30">
      <c r="A2063" s="5" t="str">
        <f>HYPERLINK("https://www.oit.va.gov/Services/TRM/ToolPage.aspx?tid=13955^","CUPS")</f>
        <v>CUPS</v>
      </c>
      <c r="B2063" s="4" t="s">
        <v>2235</v>
      </c>
      <c r="C2063" s="8" t="s">
        <v>5</v>
      </c>
      <c r="D2063" s="11" t="s">
        <v>2236</v>
      </c>
    </row>
    <row r="2064" spans="1:4" ht="30">
      <c r="A2064" s="5" t="str">
        <f>HYPERLINK("https://www.oit.va.gov/Services/TRM/ToolPage.aspx?tid=15486^","Curbell Tester 5 (CT-5)")</f>
        <v>Curbell Tester 5 (CT-5)</v>
      </c>
      <c r="B2064" s="4" t="s">
        <v>3985</v>
      </c>
      <c r="C2064" s="8" t="s">
        <v>5</v>
      </c>
      <c r="D2064" s="11" t="s">
        <v>3986</v>
      </c>
    </row>
    <row r="2065" spans="1:4" ht="30">
      <c r="A2065" s="5" t="str">
        <f>HYPERLINK("https://www.oit.va.gov/Services/TRM/ToolPage.aspx?tid=15294^","TACS")</f>
        <v>TACS</v>
      </c>
      <c r="B2065" s="4" t="s">
        <v>7210</v>
      </c>
      <c r="C2065" s="8" t="s">
        <v>5</v>
      </c>
      <c r="D2065" s="11" t="s">
        <v>5272</v>
      </c>
    </row>
    <row r="2066" spans="1:4" ht="30">
      <c r="A2066" s="5" t="str">
        <f>HYPERLINK("https://www.oit.va.gov/Services/TRM/ToolPage.aspx?tid=13958^","BioAdaptor")</f>
        <v>BioAdaptor</v>
      </c>
      <c r="B2066" s="4" t="s">
        <v>1361</v>
      </c>
      <c r="C2066" s="8" t="s">
        <v>5</v>
      </c>
      <c r="D2066" s="11" t="s">
        <v>1362</v>
      </c>
    </row>
    <row r="2067" spans="1:4" ht="30">
      <c r="A2067" s="5" t="str">
        <f>HYPERLINK("https://www.oit.va.gov/Services/TRM/ToolPage.aspx?tid=13715^","Personal Credential Assistant (PCA)")</f>
        <v>Personal Credential Assistant (PCA)</v>
      </c>
      <c r="B2067" s="4" t="s">
        <v>1361</v>
      </c>
      <c r="C2067" s="8" t="s">
        <v>5</v>
      </c>
      <c r="D2067" s="11" t="s">
        <v>3451</v>
      </c>
    </row>
    <row r="2068" spans="1:4" ht="30">
      <c r="A2068" s="5" t="str">
        <f>HYPERLINK("https://www.oit.va.gov/Services/TRM/ToolPage.aspx?tid=14078^","PowerPanel Business")</f>
        <v>PowerPanel Business</v>
      </c>
      <c r="B2068" s="4" t="s">
        <v>4637</v>
      </c>
      <c r="C2068" s="8" t="s">
        <v>5</v>
      </c>
      <c r="D2068" s="11" t="s">
        <v>4638</v>
      </c>
    </row>
    <row r="2069" spans="1:4" ht="30">
      <c r="A2069" s="5" t="str">
        <f>HYPERLINK("https://www.oit.va.gov/Services/TRM/ToolPage.aspx?tid=15258^","CyberArk xRay Agent")</f>
        <v>CyberArk xRay Agent</v>
      </c>
      <c r="B2069" s="4" t="s">
        <v>1473</v>
      </c>
      <c r="C2069" s="8" t="s">
        <v>5</v>
      </c>
      <c r="D2069" s="11" t="s">
        <v>393</v>
      </c>
    </row>
    <row r="2070" spans="1:4" ht="30">
      <c r="A2070" s="5" t="str">
        <f>HYPERLINK("https://www.oit.va.gov/Services/TRM/ToolPage.aspx?tid=16371^","CyberArk Privileged Session Manager (PSM) Client")</f>
        <v>CyberArk Privileged Session Manager (PSM) Client</v>
      </c>
      <c r="B2070" s="4" t="s">
        <v>1473</v>
      </c>
      <c r="C2070" s="8" t="s">
        <v>5</v>
      </c>
      <c r="D2070" s="11" t="s">
        <v>5745</v>
      </c>
    </row>
    <row r="2071" spans="1:4" ht="30">
      <c r="A2071" s="5" t="str">
        <f>HYPERLINK("https://www.oit.va.gov/Services/TRM/ToolPage.aspx?tid=8092^","CyberCare Interactive Voice Response (IVR)")</f>
        <v>CyberCare Interactive Voice Response (IVR)</v>
      </c>
      <c r="B2071" s="4" t="s">
        <v>5127</v>
      </c>
      <c r="C2071" s="8" t="s">
        <v>5</v>
      </c>
      <c r="D2071" s="11" t="s">
        <v>1165</v>
      </c>
    </row>
    <row r="2072" spans="1:4" ht="30">
      <c r="A2072" s="5" t="str">
        <f>HYPERLINK("https://www.oit.va.gov/Services/TRM/ToolPage.aspx?tid=13768^","CyberGhost Virtual Private Network (VPN)")</f>
        <v>CyberGhost Virtual Private Network (VPN)</v>
      </c>
      <c r="B2072" s="4" t="s">
        <v>7719</v>
      </c>
      <c r="C2072" s="8" t="s">
        <v>5</v>
      </c>
      <c r="D2072" s="11" t="s">
        <v>7720</v>
      </c>
    </row>
    <row r="2073" spans="1:4" ht="30">
      <c r="A2073" s="5" t="str">
        <f>HYPERLINK("https://www.oit.va.gov/Services/TRM/ToolPage.aspx?tid=8098^","CyberLink YouCam")</f>
        <v>CyberLink YouCam</v>
      </c>
      <c r="B2073" s="4" t="s">
        <v>634</v>
      </c>
      <c r="C2073" s="8" t="s">
        <v>5</v>
      </c>
      <c r="D2073" s="11" t="s">
        <v>635</v>
      </c>
    </row>
    <row r="2074" spans="1:4" ht="30">
      <c r="A2074" s="5" t="str">
        <f>HYPERLINK("https://www.oit.va.gov/Services/TRM/ToolPage.aspx?tid=15878^","PowerDirector 365")</f>
        <v>PowerDirector 365</v>
      </c>
      <c r="B2074" s="4" t="s">
        <v>634</v>
      </c>
      <c r="C2074" s="8" t="s">
        <v>5</v>
      </c>
      <c r="D2074" s="11" t="s">
        <v>4635</v>
      </c>
    </row>
    <row r="2075" spans="1:4" ht="30">
      <c r="A2075" s="5" t="str">
        <f>HYPERLINK("https://www.oit.va.gov/Services/TRM/ToolPage.aspx?tid=5694^","PowerDVD")</f>
        <v>PowerDVD</v>
      </c>
      <c r="B2075" s="4" t="s">
        <v>634</v>
      </c>
      <c r="C2075" s="8" t="s">
        <v>5</v>
      </c>
      <c r="D2075" s="11" t="s">
        <v>399</v>
      </c>
    </row>
    <row r="2076" spans="1:4" ht="30">
      <c r="A2076" s="5" t="str">
        <f>HYPERLINK("https://www.oit.va.gov/Services/TRM/ToolPage.aspx?tid=14208^","PhotoDirector 365")</f>
        <v>PhotoDirector 365</v>
      </c>
      <c r="B2076" s="4" t="s">
        <v>634</v>
      </c>
      <c r="C2076" s="8" t="s">
        <v>5</v>
      </c>
      <c r="D2076" s="11" t="s">
        <v>51</v>
      </c>
    </row>
    <row r="2077" spans="1:4" ht="30">
      <c r="A2077" s="5" t="str">
        <f>HYPERLINK("https://www.oit.va.gov/Services/TRM/ToolPage.aspx?tid=13726^","CyberLink LabelPrint")</f>
        <v>CyberLink LabelPrint</v>
      </c>
      <c r="B2077" s="4" t="s">
        <v>634</v>
      </c>
      <c r="C2077" s="8" t="s">
        <v>5</v>
      </c>
      <c r="D2077" s="11" t="s">
        <v>7721</v>
      </c>
    </row>
    <row r="2078" spans="1:4" ht="30">
      <c r="A2078" s="5" t="str">
        <f>HYPERLINK("https://www.oit.va.gov/Services/TRM/ToolPage.aspx?tid=11110^","Media Suite")</f>
        <v>Media Suite</v>
      </c>
      <c r="B2078" s="4" t="s">
        <v>634</v>
      </c>
      <c r="C2078" s="8" t="s">
        <v>5</v>
      </c>
      <c r="D2078" s="11" t="s">
        <v>8233</v>
      </c>
    </row>
    <row r="2079" spans="1:4" ht="30">
      <c r="A2079" s="5" t="str">
        <f>HYPERLINK("https://www.oit.va.gov/Services/TRM/ToolPage.aspx?tid=11233^","Power2Go")</f>
        <v>Power2Go</v>
      </c>
      <c r="B2079" s="4" t="s">
        <v>634</v>
      </c>
      <c r="C2079" s="8" t="s">
        <v>5</v>
      </c>
      <c r="D2079" s="11" t="s">
        <v>7810</v>
      </c>
    </row>
    <row r="2080" spans="1:4" ht="30">
      <c r="A2080" s="5" t="str">
        <f>HYPERLINK("https://www.oit.va.gov/Services/TRM/ToolPage.aspx?tid=13368^","CyberScrub Security")</f>
        <v>CyberScrub Security</v>
      </c>
      <c r="B2080" s="4" t="s">
        <v>7722</v>
      </c>
      <c r="C2080" s="8" t="s">
        <v>5</v>
      </c>
      <c r="D2080" s="11" t="s">
        <v>6692</v>
      </c>
    </row>
    <row r="2081" spans="1:4" ht="30">
      <c r="A2081" s="5" t="str">
        <f>HYPERLINK("https://www.oit.va.gov/Services/TRM/ToolPage.aspx?tid=14045^","Privacy Eraser")</f>
        <v>Privacy Eraser</v>
      </c>
      <c r="B2081" s="4" t="s">
        <v>7029</v>
      </c>
      <c r="C2081" s="8" t="s">
        <v>5</v>
      </c>
      <c r="D2081" s="11" t="s">
        <v>7030</v>
      </c>
    </row>
    <row r="2082" spans="1:4" ht="30">
      <c r="A2082" s="5" t="str">
        <f>HYPERLINK("https://www.oit.va.gov/Services/TRM/ToolPage.aspx?tid=13740^","Key Recovery Server (KRS)")</f>
        <v>Key Recovery Server (KRS)</v>
      </c>
      <c r="B2082" s="4" t="s">
        <v>8145</v>
      </c>
      <c r="C2082" s="8" t="s">
        <v>5</v>
      </c>
      <c r="D2082" s="11" t="s">
        <v>8146</v>
      </c>
    </row>
    <row r="2083" spans="1:4" ht="30">
      <c r="A2083" s="5" t="str">
        <f>HYPERLINK("https://www.oit.va.gov/Services/TRM/ToolPage.aspx?tid=13188^","CyclancePROTECT")</f>
        <v>CyclancePROTECT</v>
      </c>
      <c r="B2083" s="4" t="s">
        <v>7723</v>
      </c>
      <c r="C2083" s="8" t="s">
        <v>5</v>
      </c>
      <c r="D2083" s="11" t="s">
        <v>7724</v>
      </c>
    </row>
    <row r="2084" spans="1:4" ht="30">
      <c r="A2084" s="5" t="str">
        <f>HYPERLINK("https://www.oit.va.gov/Services/TRM/ToolPage.aspx?tid=13215^","Cypress")</f>
        <v>Cypress</v>
      </c>
      <c r="B2084" s="4" t="s">
        <v>3240</v>
      </c>
      <c r="C2084" s="8" t="s">
        <v>5</v>
      </c>
      <c r="D2084" s="11" t="s">
        <v>3241</v>
      </c>
    </row>
    <row r="2085" spans="1:4" ht="30">
      <c r="A2085" s="5" t="str">
        <f>HYPERLINK("https://www.oit.va.gov/Services/TRM/ToolPage.aspx?tid=14623^","Programmable System on Chip (PSoC) Creator")</f>
        <v>Programmable System on Chip (PSoC) Creator</v>
      </c>
      <c r="B2085" s="4" t="s">
        <v>4661</v>
      </c>
      <c r="C2085" s="8" t="s">
        <v>5</v>
      </c>
      <c r="D2085" s="11" t="s">
        <v>4662</v>
      </c>
    </row>
    <row r="2086" spans="1:4" ht="30">
      <c r="A2086" s="5" t="str">
        <f>HYPERLINK("https://www.oit.va.gov/Services/TRM/ToolPage.aspx?tid=8123^","East Base")</f>
        <v>East Base</v>
      </c>
      <c r="B2086" s="4" t="s">
        <v>664</v>
      </c>
      <c r="C2086" s="8" t="s">
        <v>5</v>
      </c>
      <c r="D2086" s="11" t="s">
        <v>665</v>
      </c>
    </row>
    <row r="2087" spans="1:4" ht="30">
      <c r="A2087" s="5" t="str">
        <f>HYPERLINK("https://www.oit.va.gov/Services/TRM/ToolPage.aspx?tid=7691^","StatXact")</f>
        <v>StatXact</v>
      </c>
      <c r="B2087" s="4" t="s">
        <v>664</v>
      </c>
      <c r="C2087" s="8" t="s">
        <v>5</v>
      </c>
      <c r="D2087" s="11" t="s">
        <v>2995</v>
      </c>
    </row>
    <row r="2088" spans="1:4" ht="30">
      <c r="A2088" s="5" t="str">
        <f>HYPERLINK("https://www.oit.va.gov/Services/TRM/ToolPage.aspx?tid=15850^","Cytel LogXact")</f>
        <v>Cytel LogXact</v>
      </c>
      <c r="B2088" s="4" t="s">
        <v>664</v>
      </c>
      <c r="C2088" s="8" t="s">
        <v>5</v>
      </c>
      <c r="D2088" s="11" t="s">
        <v>1927</v>
      </c>
    </row>
    <row r="2089" spans="1:4" ht="30">
      <c r="A2089" s="5" t="str">
        <f>HYPERLINK("https://www.oit.va.gov/Services/TRM/ToolPage.aspx?tid=16214^","ImageQuant TL")</f>
        <v>ImageQuant TL</v>
      </c>
      <c r="B2089" s="4" t="s">
        <v>2664</v>
      </c>
      <c r="C2089" s="8" t="s">
        <v>5</v>
      </c>
      <c r="D2089" s="11" t="s">
        <v>2665</v>
      </c>
    </row>
    <row r="2090" spans="1:4" ht="30">
      <c r="A2090" s="5" t="str">
        <f>HYPERLINK("https://www.oit.va.gov/Services/TRM/ToolPage.aspx?tid=14960^","UNICORN")</f>
        <v>UNICORN</v>
      </c>
      <c r="B2090" s="4" t="s">
        <v>2664</v>
      </c>
      <c r="C2090" s="8" t="s">
        <v>5</v>
      </c>
      <c r="D2090" s="11" t="s">
        <v>1119</v>
      </c>
    </row>
    <row r="2091" spans="1:4" ht="30">
      <c r="A2091" s="5" t="str">
        <f>HYPERLINK("https://www.oit.va.gov/Services/TRM/ToolPage.aspx?tid=11672^","Typhoon FLA 9500 Control Software")</f>
        <v>Typhoon FLA 9500 Control Software</v>
      </c>
      <c r="B2091" s="4" t="s">
        <v>2664</v>
      </c>
      <c r="C2091" s="8" t="s">
        <v>5</v>
      </c>
      <c r="D2091" s="11" t="s">
        <v>147</v>
      </c>
    </row>
    <row r="2092" spans="1:4" ht="30">
      <c r="A2092" s="5" t="str">
        <f>HYPERLINK("https://www.oit.va.gov/Services/TRM/ToolPage.aspx?tid=15463^","In Carta")</f>
        <v>In Carta</v>
      </c>
      <c r="B2092" s="4" t="s">
        <v>2664</v>
      </c>
      <c r="C2092" s="8" t="s">
        <v>5</v>
      </c>
      <c r="D2092" s="11" t="s">
        <v>7521</v>
      </c>
    </row>
    <row r="2093" spans="1:4" ht="30">
      <c r="A2093" s="5" t="str">
        <f>HYPERLINK("https://www.oit.va.gov/Services/TRM/ToolPage.aspx?tid=14242^","Cytoscape")</f>
        <v>Cytoscape</v>
      </c>
      <c r="B2093" s="4" t="s">
        <v>3993</v>
      </c>
      <c r="C2093" s="8" t="s">
        <v>5</v>
      </c>
      <c r="D2093" s="11" t="s">
        <v>2598</v>
      </c>
    </row>
    <row r="2094" spans="1:4" ht="30">
      <c r="A2094" s="5" t="str">
        <f>HYPERLINK("https://www.oit.va.gov/Services/TRM/ToolPage.aspx?tid=15792^","Auto Mouse Mover")</f>
        <v>Auto Mouse Mover</v>
      </c>
      <c r="B2094" s="4" t="s">
        <v>6304</v>
      </c>
      <c r="C2094" s="8" t="s">
        <v>5</v>
      </c>
      <c r="D2094" s="11" t="s">
        <v>6305</v>
      </c>
    </row>
    <row r="2095" spans="1:4" ht="30">
      <c r="A2095" s="5" t="str">
        <f>HYPERLINK("https://www.oit.va.gov/Services/TRM/ToolPage.aspx?tid=9433^","Dacima Electronic Data Capture (EDC)")</f>
        <v>Dacima Electronic Data Capture (EDC)</v>
      </c>
      <c r="B2095" s="4" t="s">
        <v>2491</v>
      </c>
      <c r="C2095" s="8" t="s">
        <v>5</v>
      </c>
      <c r="D2095" s="11" t="s">
        <v>2492</v>
      </c>
    </row>
    <row r="2096" spans="1:4" ht="30">
      <c r="A2096" s="5" t="str">
        <f>HYPERLINK("https://www.oit.va.gov/Services/TRM/ToolPage.aspx?tid=9958^","Magic App")</f>
        <v>Magic App</v>
      </c>
      <c r="B2096" s="4" t="s">
        <v>8203</v>
      </c>
      <c r="C2096" s="8" t="s">
        <v>5</v>
      </c>
      <c r="D2096" s="11" t="s">
        <v>2148</v>
      </c>
    </row>
    <row r="2097" spans="1:4" ht="30">
      <c r="A2097" s="5" t="str">
        <f>HYPERLINK("https://www.oit.va.gov/Services/TRM/ToolPage.aspx?tid=8451^","Venus 1500")</f>
        <v>Venus 1500</v>
      </c>
      <c r="B2097" s="4" t="s">
        <v>3060</v>
      </c>
      <c r="C2097" s="8" t="s">
        <v>5</v>
      </c>
      <c r="D2097" s="11" t="s">
        <v>2517</v>
      </c>
    </row>
    <row r="2098" spans="1:4" ht="30">
      <c r="A2098" s="5" t="str">
        <f>HYPERLINK("https://www.oit.va.gov/Services/TRM/ToolPage.aspx?tid=15146^","Venus Control Suite")</f>
        <v>Venus Control Suite</v>
      </c>
      <c r="B2098" s="4" t="s">
        <v>3060</v>
      </c>
      <c r="C2098" s="8" t="s">
        <v>5</v>
      </c>
      <c r="D2098" s="11" t="s">
        <v>4956</v>
      </c>
    </row>
    <row r="2099" spans="1:4" ht="30">
      <c r="A2099" s="5" t="str">
        <f>HYPERLINK("https://www.oit.va.gov/Services/TRM/ToolPage.aspx?tid=8624^","Dalet Galaxy Five")</f>
        <v>Dalet Galaxy Five</v>
      </c>
      <c r="B2099" s="4" t="s">
        <v>1477</v>
      </c>
      <c r="C2099" s="8" t="s">
        <v>5</v>
      </c>
      <c r="D2099" s="11" t="s">
        <v>1478</v>
      </c>
    </row>
    <row r="2100" spans="1:4" ht="30">
      <c r="A2100" s="5" t="str">
        <f>HYPERLINK("https://www.oit.va.gov/Services/TRM/ToolPage.aspx?tid=8806^","Dalet AmberFin")</f>
        <v>Dalet AmberFin</v>
      </c>
      <c r="B2100" s="4" t="s">
        <v>1477</v>
      </c>
      <c r="C2100" s="8" t="s">
        <v>5</v>
      </c>
      <c r="D2100" s="11" t="s">
        <v>3994</v>
      </c>
    </row>
    <row r="2101" spans="1:4" ht="30">
      <c r="A2101" s="5" t="str">
        <f>HYPERLINK("https://www.oit.va.gov/Services/TRM/ToolPage.aspx?tid=5600^","DameWare Mini Remote Control (DMRC)")</f>
        <v>DameWare Mini Remote Control (DMRC)</v>
      </c>
      <c r="B2101" s="4" t="s">
        <v>2109</v>
      </c>
      <c r="C2101" s="8" t="s">
        <v>5</v>
      </c>
      <c r="D2101" s="11" t="s">
        <v>1912</v>
      </c>
    </row>
    <row r="2102" spans="1:4" ht="30">
      <c r="A2102" s="5" t="str">
        <f>HYPERLINK("https://www.oit.va.gov/Services/TRM/ToolPage.aspx?tid=5601^","DameWare Remote Support")</f>
        <v>DameWare Remote Support</v>
      </c>
      <c r="B2102" s="4" t="s">
        <v>2109</v>
      </c>
      <c r="C2102" s="8" t="s">
        <v>5</v>
      </c>
      <c r="D2102" s="11" t="s">
        <v>6270</v>
      </c>
    </row>
    <row r="2103" spans="1:4" ht="30">
      <c r="A2103" s="5" t="str">
        <f>HYPERLINK("https://www.oit.va.gov/Services/TRM/ToolPage.aspx?tid=8714^","PuTTY-CAC (Common Access Card)")</f>
        <v>PuTTY-CAC (Common Access Card)</v>
      </c>
      <c r="B2103" s="4" t="s">
        <v>4671</v>
      </c>
      <c r="C2103" s="8" t="s">
        <v>5</v>
      </c>
      <c r="D2103" s="11" t="s">
        <v>4672</v>
      </c>
    </row>
    <row r="2104" spans="1:4" ht="30">
      <c r="A2104" s="5" t="str">
        <f>HYPERLINK("https://www.oit.va.gov/Services/TRM/ToolPage.aspx?tid=12943^","Docker Compose (Community)")</f>
        <v>Docker Compose (Community)</v>
      </c>
      <c r="B2104" s="4" t="s">
        <v>3258</v>
      </c>
      <c r="C2104" s="8" t="s">
        <v>5</v>
      </c>
      <c r="D2104" s="11" t="s">
        <v>3259</v>
      </c>
    </row>
    <row r="2105" spans="1:4" ht="30">
      <c r="A2105" s="5" t="str">
        <f>HYPERLINK("https://www.oit.va.gov/Services/TRM/ToolPage.aspx?tid=16251^","cPuTTY")</f>
        <v>cPuTTY</v>
      </c>
      <c r="B2105" s="4" t="s">
        <v>6468</v>
      </c>
      <c r="C2105" s="8" t="s">
        <v>5</v>
      </c>
      <c r="D2105" s="11" t="s">
        <v>6469</v>
      </c>
    </row>
    <row r="2106" spans="1:4" ht="30">
      <c r="A2106" s="5" t="str">
        <f>HYPERLINK("https://www.oit.va.gov/Services/TRM/ToolPage.aspx?tid=9410^","RANDI2")</f>
        <v>RANDI2</v>
      </c>
      <c r="B2106" s="4" t="s">
        <v>8530</v>
      </c>
      <c r="C2106" s="8" t="s">
        <v>5</v>
      </c>
      <c r="D2106" s="11" t="s">
        <v>2305</v>
      </c>
    </row>
    <row r="2107" spans="1:4" ht="30">
      <c r="A2107" s="5" t="str">
        <f>HYPERLINK("https://www.oit.va.gov/Services/TRM/ToolPage.aspx?tid=13013^","Karma Hypertext Markup Language (HTML) Reporter")</f>
        <v>Karma Hypertext Markup Language (HTML) Reporter</v>
      </c>
      <c r="B2107" s="4" t="s">
        <v>8141</v>
      </c>
      <c r="C2107" s="8" t="s">
        <v>5</v>
      </c>
      <c r="D2107" s="11" t="s">
        <v>3361</v>
      </c>
    </row>
    <row r="2108" spans="1:4" ht="30">
      <c r="A2108" s="5" t="str">
        <f>HYPERLINK("https://www.oit.va.gov/Services/TRM/ToolPage.aspx?tid=13195^","Libxml2")</f>
        <v>Libxml2</v>
      </c>
      <c r="B2108" s="4" t="s">
        <v>6788</v>
      </c>
      <c r="C2108" s="8" t="s">
        <v>5</v>
      </c>
      <c r="D2108" s="11" t="s">
        <v>6789</v>
      </c>
    </row>
    <row r="2109" spans="1:4" ht="30">
      <c r="A2109" s="5" t="str">
        <f>HYPERLINK("https://www.oit.va.gov/Services/TRM/ToolPage.aspx?tid=16845^","Dante Controller")</f>
        <v>Dante Controller</v>
      </c>
      <c r="B2109" s="4" t="s">
        <v>3995</v>
      </c>
      <c r="C2109" s="8" t="s">
        <v>5</v>
      </c>
      <c r="D2109" s="11" t="s">
        <v>3996</v>
      </c>
    </row>
    <row r="2110" spans="1:4" ht="30">
      <c r="A2110" s="5" t="str">
        <f>HYPERLINK("https://www.oit.va.gov/Services/TRM/ToolPage.aspx?tid=16846^","Dante Virtual Soundcard")</f>
        <v>Dante Virtual Soundcard</v>
      </c>
      <c r="B2110" s="4" t="s">
        <v>3995</v>
      </c>
      <c r="C2110" s="8" t="s">
        <v>5</v>
      </c>
      <c r="D2110" s="11" t="s">
        <v>3996</v>
      </c>
    </row>
    <row r="2111" spans="1:4" ht="30">
      <c r="A2111" s="5" t="str">
        <f>HYPERLINK("https://www.oit.va.gov/Services/TRM/ToolPage.aspx?tid=10441^","Dapper")</f>
        <v>Dapper</v>
      </c>
      <c r="B2111" s="4" t="s">
        <v>354</v>
      </c>
      <c r="C2111" s="8" t="s">
        <v>5</v>
      </c>
      <c r="D2111" s="11" t="s">
        <v>355</v>
      </c>
    </row>
    <row r="2112" spans="1:4" ht="30">
      <c r="A2112" s="5" t="str">
        <f>HYPERLINK("https://www.oit.va.gov/Services/TRM/ToolPage.aspx?tid=14262^","Darkroom Booth")</f>
        <v>Darkroom Booth</v>
      </c>
      <c r="B2112" s="4" t="s">
        <v>3242</v>
      </c>
      <c r="C2112" s="8" t="s">
        <v>5</v>
      </c>
      <c r="D2112" s="11" t="s">
        <v>2113</v>
      </c>
    </row>
    <row r="2113" spans="1:4" ht="30">
      <c r="A2113" s="5" t="str">
        <f>HYPERLINK("https://www.oit.va.gov/Services/TRM/ToolPage.aspx?tid=14004^","PyCrypto")</f>
        <v>PyCrypto</v>
      </c>
      <c r="B2113" s="4" t="s">
        <v>8498</v>
      </c>
      <c r="C2113" s="8" t="s">
        <v>5</v>
      </c>
      <c r="D2113" s="11" t="s">
        <v>6035</v>
      </c>
    </row>
    <row r="2114" spans="1:4" ht="30">
      <c r="A2114" s="5" t="str">
        <f>HYPERLINK("https://www.oit.va.gov/Services/TRM/ToolPage.aspx?tid=6688^","Power Transmission Control Protocol (TCP) Sockets for .NET")</f>
        <v>Power Transmission Control Protocol (TCP) Sockets for .NET</v>
      </c>
      <c r="B2114" s="4" t="s">
        <v>13</v>
      </c>
      <c r="C2114" s="8" t="s">
        <v>5</v>
      </c>
      <c r="D2114" s="11" t="s">
        <v>14</v>
      </c>
    </row>
    <row r="2115" spans="1:4" ht="30">
      <c r="A2115" s="5" t="str">
        <f>HYPERLINK("https://www.oit.va.gov/Services/TRM/ToolPage.aspx?tid=10012^","SPNEGO")</f>
        <v>SPNEGO</v>
      </c>
      <c r="B2115" s="4" t="s">
        <v>7169</v>
      </c>
      <c r="C2115" s="8" t="s">
        <v>5</v>
      </c>
      <c r="D2115" s="11" t="s">
        <v>7170</v>
      </c>
    </row>
    <row r="2116" spans="1:4" ht="30">
      <c r="A2116" s="5" t="str">
        <f>HYPERLINK("https://www.oit.va.gov/Services/TRM/ToolPage.aspx?tid=7778^","Secret Identity")</f>
        <v>Secret Identity</v>
      </c>
      <c r="B2116" s="4" t="s">
        <v>8605</v>
      </c>
      <c r="C2116" s="8" t="s">
        <v>5</v>
      </c>
      <c r="D2116" s="11" t="s">
        <v>8606</v>
      </c>
    </row>
    <row r="2117" spans="1:4" ht="30">
      <c r="A2117" s="5" t="str">
        <f>HYPERLINK("https://www.oit.va.gov/Services/TRM/ToolPage.aspx?tid=6676^","eDrawings")</f>
        <v>eDrawings</v>
      </c>
      <c r="B2117" s="4" t="s">
        <v>394</v>
      </c>
      <c r="C2117" s="8" t="s">
        <v>5</v>
      </c>
      <c r="D2117" s="11" t="s">
        <v>395</v>
      </c>
    </row>
    <row r="2118" spans="1:4" ht="30">
      <c r="A2118" s="5" t="str">
        <f>HYPERLINK("https://www.oit.va.gov/Services/TRM/ToolPage.aspx?tid=14207^","No Magic Teamwork Cloud (TWCloud)")</f>
        <v>No Magic Teamwork Cloud (TWCloud)</v>
      </c>
      <c r="B2118" s="4" t="s">
        <v>1774</v>
      </c>
      <c r="C2118" s="8" t="s">
        <v>5</v>
      </c>
      <c r="D2118" s="11" t="s">
        <v>1775</v>
      </c>
    </row>
    <row r="2119" spans="1:4" ht="30">
      <c r="A2119" s="5" t="str">
        <f>HYPERLINK("https://www.oit.va.gov/Services/TRM/ToolPage.aspx?tid=6140^","SolidWorks Three-Dimensional (3D) Computer-Aided Design (CAD)")</f>
        <v>SolidWorks Three-Dimensional (3D) Computer-Aided Design (CAD)</v>
      </c>
      <c r="B2119" s="4" t="s">
        <v>1774</v>
      </c>
      <c r="C2119" s="8" t="s">
        <v>5</v>
      </c>
      <c r="D2119" s="11" t="s">
        <v>1945</v>
      </c>
    </row>
    <row r="2120" spans="1:4" ht="30">
      <c r="A2120" s="5" t="str">
        <f>HYPERLINK("https://www.oit.va.gov/Services/TRM/ToolPage.aspx?tid=14236^","No Magic Cameo Enterprise Architect (CEA)")</f>
        <v>No Magic Cameo Enterprise Architect (CEA)</v>
      </c>
      <c r="B2120" s="4" t="s">
        <v>1774</v>
      </c>
      <c r="C2120" s="8" t="s">
        <v>5</v>
      </c>
      <c r="D2120" s="11" t="s">
        <v>895</v>
      </c>
    </row>
    <row r="2121" spans="1:4" ht="30">
      <c r="A2121" s="5" t="str">
        <f>HYPERLINK("https://www.oit.va.gov/Services/TRM/ToolPage.aspx?tid=14238^","No Magic Merge Plug-In")</f>
        <v>No Magic Merge Plug-In</v>
      </c>
      <c r="B2121" s="4" t="s">
        <v>1774</v>
      </c>
      <c r="C2121" s="8" t="s">
        <v>5</v>
      </c>
      <c r="D2121" s="11" t="s">
        <v>4511</v>
      </c>
    </row>
    <row r="2122" spans="1:4" ht="30">
      <c r="A2122" s="5" t="str">
        <f>HYPERLINK("https://www.oit.va.gov/Services/TRM/ToolPage.aspx?tid=5973^","SolidWorks File Utilities")</f>
        <v>SolidWorks File Utilities</v>
      </c>
      <c r="B2122" s="4" t="s">
        <v>1774</v>
      </c>
      <c r="C2122" s="8" t="s">
        <v>5</v>
      </c>
      <c r="D2122" s="11" t="s">
        <v>839</v>
      </c>
    </row>
    <row r="2123" spans="1:4" ht="30">
      <c r="A2123" s="5" t="str">
        <f>HYPERLINK("https://www.oit.va.gov/Services/TRM/ToolPage.aspx?tid=13707^","CATIA Composer Player")</f>
        <v>CATIA Composer Player</v>
      </c>
      <c r="B2123" s="4" t="s">
        <v>1774</v>
      </c>
      <c r="C2123" s="8" t="s">
        <v>5</v>
      </c>
      <c r="D2123" s="11" t="s">
        <v>1491</v>
      </c>
    </row>
    <row r="2124" spans="1:4" ht="30">
      <c r="A2124" s="5" t="str">
        <f>HYPERLINK("https://www.oit.va.gov/Services/TRM/ToolPage.aspx?tid=10018^","Digital Secure Copy (DISCO)")</f>
        <v>Digital Secure Copy (DISCO)</v>
      </c>
      <c r="B2124" s="4" t="s">
        <v>5766</v>
      </c>
      <c r="C2124" s="8" t="s">
        <v>5</v>
      </c>
      <c r="D2124" s="11" t="s">
        <v>5767</v>
      </c>
    </row>
    <row r="2125" spans="1:4" ht="30">
      <c r="A2125" s="5" t="str">
        <f>HYPERLINK("https://www.oit.va.gov/Services/TRM/ToolPage.aspx?tid=7911^","Instrument Manager (IM)")</f>
        <v>Instrument Manager (IM)</v>
      </c>
      <c r="B2125" s="4" t="s">
        <v>1636</v>
      </c>
      <c r="C2125" s="8" t="s">
        <v>5</v>
      </c>
      <c r="D2125" s="11" t="s">
        <v>282</v>
      </c>
    </row>
    <row r="2126" spans="1:4" ht="30">
      <c r="A2126" s="5" t="str">
        <f>HYPERLINK("https://www.oit.va.gov/Services/TRM/ToolPage.aspx?tid=6865^","Evaluation Protocol (EP) Evaluator")</f>
        <v>Evaluation Protocol (EP) Evaluator</v>
      </c>
      <c r="B2126" s="4" t="s">
        <v>1636</v>
      </c>
      <c r="C2126" s="8" t="s">
        <v>5</v>
      </c>
      <c r="D2126" s="11" t="s">
        <v>1073</v>
      </c>
    </row>
    <row r="2127" spans="1:4" ht="30">
      <c r="A2127" s="5" t="str">
        <f>HYPERLINK("https://www.oit.va.gov/Services/TRM/ToolPage.aspx?tid=13023^","Omni-Assistant")</f>
        <v>Omni-Assistant</v>
      </c>
      <c r="B2127" s="4" t="s">
        <v>1636</v>
      </c>
      <c r="C2127" s="8" t="s">
        <v>5</v>
      </c>
      <c r="D2127" s="11" t="s">
        <v>4536</v>
      </c>
    </row>
    <row r="2128" spans="1:4" ht="30">
      <c r="A2128" s="5" t="str">
        <f>HYPERLINK("https://www.oit.va.gov/Services/TRM/ToolPage.aspx?tid=10659^","JResultNet")</f>
        <v>JResultNet</v>
      </c>
      <c r="B2128" s="4" t="s">
        <v>1636</v>
      </c>
      <c r="C2128" s="8" t="s">
        <v>5</v>
      </c>
      <c r="D2128" s="11" t="s">
        <v>7660</v>
      </c>
    </row>
    <row r="2129" spans="1:4" ht="30">
      <c r="A2129" s="5" t="str">
        <f>HYPERLINK("https://www.oit.va.gov/Services/TRM/ToolPage.aspx?tid=8993^","Data Know How Cleaning System")</f>
        <v>Data Know How Cleaning System</v>
      </c>
      <c r="B2129" s="4" t="s">
        <v>639</v>
      </c>
      <c r="C2129" s="8" t="s">
        <v>5</v>
      </c>
      <c r="D2129" s="11" t="s">
        <v>640</v>
      </c>
    </row>
    <row r="2130" spans="1:4" ht="30">
      <c r="A2130" s="5" t="str">
        <f>HYPERLINK("https://www.oit.va.gov/Services/TRM/ToolPage.aspx?tid=7915^","Tests of Adult Basic Education (TABE)")</f>
        <v>Tests of Adult Basic Education (TABE)</v>
      </c>
      <c r="B2130" s="4" t="s">
        <v>8799</v>
      </c>
      <c r="C2130" s="8" t="s">
        <v>5</v>
      </c>
      <c r="D2130" s="11" t="s">
        <v>3737</v>
      </c>
    </row>
    <row r="2131" spans="1:4" ht="30">
      <c r="A2131" s="5" t="str">
        <f>HYPERLINK("https://www.oit.va.gov/Services/TRM/ToolPage.aspx?tid=13737^","Ponemah")</f>
        <v>Ponemah</v>
      </c>
      <c r="B2131" s="4" t="s">
        <v>2170</v>
      </c>
      <c r="C2131" s="8" t="s">
        <v>5</v>
      </c>
      <c r="D2131" s="11" t="s">
        <v>722</v>
      </c>
    </row>
    <row r="2132" spans="1:4" ht="30">
      <c r="A2132" s="5" t="str">
        <f>HYPERLINK("https://www.oit.va.gov/Services/TRM/ToolPage.aspx?tid=11573^","Dataquest Advanced Research Technology (A.R.T) System")</f>
        <v>Dataquest Advanced Research Technology (A.R.T) System</v>
      </c>
      <c r="B2132" s="4" t="s">
        <v>2170</v>
      </c>
      <c r="C2132" s="8" t="s">
        <v>5</v>
      </c>
      <c r="D2132" s="11" t="s">
        <v>2494</v>
      </c>
    </row>
    <row r="2133" spans="1:4" ht="30">
      <c r="A2133" s="5" t="str">
        <f>HYPERLINK("https://www.oit.va.gov/Services/TRM/ToolPage.aspx?tid=16143^","Databricks Open Database Connectivity (ODBC) Driver")</f>
        <v>Databricks Open Database Connectivity (ODBC) Driver</v>
      </c>
      <c r="B2133" s="4" t="s">
        <v>3999</v>
      </c>
      <c r="C2133" s="8" t="s">
        <v>5</v>
      </c>
      <c r="D2133" s="11" t="s">
        <v>4000</v>
      </c>
    </row>
    <row r="2134" spans="1:4" ht="30">
      <c r="A2134" s="5" t="str">
        <f>HYPERLINK("https://www.oit.va.gov/Services/TRM/ToolPage.aspx?tid=15041^","Machine Learning (ML) flow")</f>
        <v>Machine Learning (ML) flow</v>
      </c>
      <c r="B2134" s="4" t="s">
        <v>3999</v>
      </c>
      <c r="C2134" s="8" t="s">
        <v>5</v>
      </c>
      <c r="D2134" s="11" t="s">
        <v>4382</v>
      </c>
    </row>
    <row r="2135" spans="1:4" ht="30">
      <c r="A2135" s="5" t="str">
        <f>HYPERLINK("https://www.oit.va.gov/Services/TRM/ToolPage.aspx?tid=11254^","NET Electronic Payment (NETePay)")</f>
        <v>NET Electronic Payment (NETePay)</v>
      </c>
      <c r="B2135" s="4" t="s">
        <v>1766</v>
      </c>
      <c r="C2135" s="8" t="s">
        <v>5</v>
      </c>
      <c r="D2135" s="11" t="s">
        <v>1767</v>
      </c>
    </row>
    <row r="2136" spans="1:4" ht="30">
      <c r="A2136" s="5" t="str">
        <f>HYPERLINK("https://www.oit.va.gov/Services/TRM/ToolPage.aspx?tid=9021^","Certified Hazardous Materials Manager Prep (CHMMprep)")</f>
        <v>Certified Hazardous Materials Manager Prep (CHMMprep)</v>
      </c>
      <c r="B2136" s="4" t="s">
        <v>5094</v>
      </c>
      <c r="C2136" s="8" t="s">
        <v>5</v>
      </c>
      <c r="D2136" s="11" t="s">
        <v>5095</v>
      </c>
    </row>
    <row r="2137" spans="1:4" ht="30">
      <c r="A2137" s="5" t="str">
        <f>HYPERLINK("https://www.oit.va.gov/Services/TRM/ToolPage.aspx?tid=13572^","Certified Healthcare Facility Manager Prep (CHFMprep)")</f>
        <v>Certified Healthcare Facility Manager Prep (CHFMprep)</v>
      </c>
      <c r="B2137" s="4" t="s">
        <v>5094</v>
      </c>
      <c r="C2137" s="8" t="s">
        <v>5</v>
      </c>
      <c r="D2137" s="11" t="s">
        <v>7630</v>
      </c>
    </row>
    <row r="2138" spans="1:4" ht="30">
      <c r="A2138" s="5" t="str">
        <f>HYPERLINK("https://www.oit.va.gov/Services/TRM/ToolPage.aspx?tid=8692^","Certified Professional Ergonomist Preparation (CPEprep)")</f>
        <v>Certified Professional Ergonomist Preparation (CPEprep)</v>
      </c>
      <c r="B2138" s="4" t="s">
        <v>5094</v>
      </c>
      <c r="C2138" s="8" t="s">
        <v>5</v>
      </c>
      <c r="D2138" s="11" t="s">
        <v>5095</v>
      </c>
    </row>
    <row r="2139" spans="1:4" ht="30">
      <c r="A2139" s="5" t="str">
        <f>HYPERLINK("https://www.oit.va.gov/Services/TRM/ToolPage.aspx?tid=14076^","Certified Safety Professional Preparation (CSPprep)")</f>
        <v>Certified Safety Professional Preparation (CSPprep)</v>
      </c>
      <c r="B2139" s="4" t="s">
        <v>5094</v>
      </c>
      <c r="C2139" s="8" t="s">
        <v>5</v>
      </c>
      <c r="D2139" s="11" t="s">
        <v>7631</v>
      </c>
    </row>
    <row r="2140" spans="1:4" ht="30">
      <c r="A2140" s="5" t="str">
        <f>HYPERLINK("https://www.oit.va.gov/Services/TRM/ToolPage.aspx?tid=12902^","SpyderX")</f>
        <v>SpyderX</v>
      </c>
      <c r="B2140" s="4" t="s">
        <v>4842</v>
      </c>
      <c r="C2140" s="8" t="s">
        <v>5</v>
      </c>
      <c r="D2140" s="11" t="s">
        <v>1939</v>
      </c>
    </row>
    <row r="2141" spans="1:4" ht="30">
      <c r="A2141" s="5" t="str">
        <f>HYPERLINK("https://www.oit.va.gov/Services/TRM/ToolPage.aspx?tid=16060^","Uniform Criminal Complaint (UCC) Program")</f>
        <v>Uniform Criminal Complaint (UCC) Program</v>
      </c>
      <c r="B2141" s="4" t="s">
        <v>7267</v>
      </c>
      <c r="C2141" s="8" t="s">
        <v>5</v>
      </c>
      <c r="D2141" s="11" t="s">
        <v>7268</v>
      </c>
    </row>
    <row r="2142" spans="1:4" ht="30">
      <c r="A2142" s="5" t="str">
        <f>HYPERLINK("https://www.oit.va.gov/Services/TRM/ToolPage.aspx?tid=13424^","SANsymphony")</f>
        <v>SANsymphony</v>
      </c>
      <c r="B2142" s="4" t="s">
        <v>5489</v>
      </c>
      <c r="C2142" s="8" t="s">
        <v>5</v>
      </c>
      <c r="D2142" s="11" t="s">
        <v>5490</v>
      </c>
    </row>
    <row r="2143" spans="1:4" ht="30">
      <c r="A2143" s="5" t="str">
        <f>HYPERLINK("https://www.oit.va.gov/Services/TRM/ToolPage.aspx?tid=11649^","DataDog Application Performance Monitoring (APM) Agent")</f>
        <v>DataDog Application Performance Monitoring (APM) Agent</v>
      </c>
      <c r="B2143" s="4" t="s">
        <v>193</v>
      </c>
      <c r="C2143" s="8" t="s">
        <v>5</v>
      </c>
      <c r="D2143" s="11" t="s">
        <v>194</v>
      </c>
    </row>
    <row r="2144" spans="1:4" ht="30">
      <c r="A2144" s="5" t="str">
        <f>HYPERLINK("https://www.oit.va.gov/Services/TRM/ToolPage.aspx?tid=16521^","Datadog Agent")</f>
        <v>Datadog Agent</v>
      </c>
      <c r="B2144" s="4" t="s">
        <v>193</v>
      </c>
      <c r="C2144" s="8" t="s">
        <v>5</v>
      </c>
      <c r="D2144" s="11" t="s">
        <v>963</v>
      </c>
    </row>
    <row r="2145" spans="1:4" ht="30">
      <c r="A2145" s="5" t="str">
        <f>HYPERLINK("https://www.oit.va.gov/Services/TRM/ToolPage.aspx?tid=16523^","Datadog Cluster Agent")</f>
        <v>Datadog Cluster Agent</v>
      </c>
      <c r="B2145" s="4" t="s">
        <v>193</v>
      </c>
      <c r="C2145" s="8" t="s">
        <v>5</v>
      </c>
      <c r="D2145" s="11" t="s">
        <v>964</v>
      </c>
    </row>
    <row r="2146" spans="1:4" ht="30">
      <c r="A2146" s="5" t="str">
        <f>HYPERLINK("https://www.oit.va.gov/Services/TRM/ToolPage.aspx?tid=16522^","Datadog Private Locations")</f>
        <v>Datadog Private Locations</v>
      </c>
      <c r="B2146" s="4" t="s">
        <v>193</v>
      </c>
      <c r="C2146" s="8" t="s">
        <v>5</v>
      </c>
      <c r="D2146" s="11" t="s">
        <v>964</v>
      </c>
    </row>
    <row r="2147" spans="1:4" ht="30">
      <c r="A2147" s="5" t="str">
        <f>HYPERLINK("https://www.oit.va.gov/Services/TRM/ToolPage.aspx?tid=16492^","Vector")</f>
        <v>Vector</v>
      </c>
      <c r="B2147" s="4" t="s">
        <v>193</v>
      </c>
      <c r="C2147" s="8" t="s">
        <v>5</v>
      </c>
      <c r="D2147" s="11" t="s">
        <v>1121</v>
      </c>
    </row>
    <row r="2148" spans="1:4" ht="30">
      <c r="A2148" s="5" t="str">
        <f>HYPERLINK("https://www.oit.va.gov/Services/TRM/ToolPage.aspx?tid=5936^","Datakey Cryptographic Interface Provider (CIP)")</f>
        <v>Datakey Cryptographic Interface Provider (CIP)</v>
      </c>
      <c r="B2148" s="4" t="s">
        <v>7735</v>
      </c>
      <c r="C2148" s="8" t="s">
        <v>5</v>
      </c>
      <c r="D2148" s="11" t="s">
        <v>7736</v>
      </c>
    </row>
    <row r="2149" spans="1:4" ht="30">
      <c r="A2149" s="5" t="str">
        <f>HYPERLINK("https://www.oit.va.gov/Services/TRM/ToolPage.aspx?tid=6464^","IronKey Enterprise Management Service (EMS)")</f>
        <v>IronKey Enterprise Management Service (EMS)</v>
      </c>
      <c r="B2149" s="4" t="s">
        <v>4284</v>
      </c>
      <c r="C2149" s="8" t="s">
        <v>5</v>
      </c>
      <c r="D2149" s="11" t="s">
        <v>4285</v>
      </c>
    </row>
    <row r="2150" spans="1:4" ht="30">
      <c r="A2150" s="5" t="str">
        <f>HYPERLINK("https://www.oit.va.gov/Services/TRM/ToolPage.aspx?tid=14198^","EncryptDisc")</f>
        <v>EncryptDisc</v>
      </c>
      <c r="B2150" s="4" t="s">
        <v>4284</v>
      </c>
      <c r="C2150" s="8" t="s">
        <v>5</v>
      </c>
      <c r="D2150" s="11" t="s">
        <v>6574</v>
      </c>
    </row>
    <row r="2151" spans="1:4" ht="30">
      <c r="A2151" s="5" t="str">
        <f>HYPERLINK("https://www.oit.va.gov/Services/TRM/ToolPage.aspx?tid=15868^","Aladdin")</f>
        <v>Aladdin</v>
      </c>
      <c r="B2151" s="4" t="s">
        <v>5621</v>
      </c>
      <c r="C2151" s="8" t="s">
        <v>5</v>
      </c>
      <c r="D2151" s="11" t="s">
        <v>5622</v>
      </c>
    </row>
    <row r="2152" spans="1:4" ht="30">
      <c r="A2152" s="5" t="str">
        <f>HYPERLINK("https://www.oit.va.gov/Services/TRM/ToolPage.aspx?tid=11770^","Screening, Brief Intervention, and Referral to Treatment (SBIRT) Wellness Tracker")</f>
        <v>Screening, Brief Intervention, and Referral to Treatment (SBIRT) Wellness Tracker</v>
      </c>
      <c r="B2152" s="4" t="s">
        <v>4769</v>
      </c>
      <c r="C2152" s="8" t="s">
        <v>5</v>
      </c>
      <c r="D2152" s="11" t="s">
        <v>3355</v>
      </c>
    </row>
    <row r="2153" spans="1:4" ht="30">
      <c r="A2153" s="5" t="str">
        <f>HYPERLINK("https://www.oit.va.gov/Services/TRM/ToolPage.aspx?tid=16445^","Power BI (Business Intelligence) Model Documenter")</f>
        <v>Power BI (Business Intelligence) Model Documenter</v>
      </c>
      <c r="B2153" s="4" t="s">
        <v>4623</v>
      </c>
      <c r="C2153" s="8" t="s">
        <v>5</v>
      </c>
      <c r="D2153" s="11" t="s">
        <v>4624</v>
      </c>
    </row>
    <row r="2154" spans="1:4" ht="30">
      <c r="A2154" s="5" t="str">
        <f>HYPERLINK("https://www.oit.va.gov/Services/TRM/ToolPage.aspx?tid=15670^","DataRay Photo MedBand")</f>
        <v>DataRay Photo MedBand</v>
      </c>
      <c r="B2154" s="4" t="s">
        <v>4001</v>
      </c>
      <c r="C2154" s="8" t="s">
        <v>5</v>
      </c>
      <c r="D2154" s="11" t="s">
        <v>4002</v>
      </c>
    </row>
    <row r="2155" spans="1:4" ht="30">
      <c r="A2155" s="5" t="str">
        <f>HYPERLINK("https://www.oit.va.gov/Services/TRM/ToolPage.aspx?tid=14503^","DataRobot")</f>
        <v>DataRobot</v>
      </c>
      <c r="B2155" s="4" t="s">
        <v>6483</v>
      </c>
      <c r="C2155" s="8" t="s">
        <v>5</v>
      </c>
      <c r="D2155" s="11" t="s">
        <v>117</v>
      </c>
    </row>
    <row r="2156" spans="1:4" ht="30">
      <c r="A2156" s="5" t="str">
        <f>HYPERLINK("https://www.oit.va.gov/Services/TRM/ToolPage.aspx?tid=13925^","Mail Merge Tables")</f>
        <v>Mail Merge Tables</v>
      </c>
      <c r="B2156" s="4" t="s">
        <v>8208</v>
      </c>
      <c r="C2156" s="8" t="s">
        <v>5</v>
      </c>
      <c r="D2156" s="11" t="s">
        <v>8209</v>
      </c>
    </row>
    <row r="2157" spans="1:4" ht="30">
      <c r="A2157" s="5" t="str">
        <f>HYPERLINK("https://www.oit.va.gov/Services/TRM/ToolPage.aspx?tid=14688^","RTSP/RTMP/HTTP/ONVIF DirectShow Source Filter")</f>
        <v>RTSP/RTMP/HTTP/ONVIF DirectShow Source Filter</v>
      </c>
      <c r="B2157" s="4" t="s">
        <v>4751</v>
      </c>
      <c r="C2157" s="8" t="s">
        <v>5</v>
      </c>
      <c r="D2157" s="11" t="s">
        <v>4752</v>
      </c>
    </row>
    <row r="2158" spans="1:4" ht="30">
      <c r="A2158" s="5" t="str">
        <f>HYPERLINK("https://www.oit.va.gov/Services/TRM/ToolPage.aspx?tid=7425^","Freezerworks Sample Management Software")</f>
        <v>Freezerworks Sample Management Software</v>
      </c>
      <c r="B2158" s="4" t="s">
        <v>1562</v>
      </c>
      <c r="C2158" s="8" t="s">
        <v>5</v>
      </c>
      <c r="D2158" s="11" t="s">
        <v>1563</v>
      </c>
    </row>
    <row r="2159" spans="1:4" ht="30">
      <c r="A2159" s="5" t="str">
        <f>HYPERLINK("https://www.oit.va.gov/Services/TRM/ToolPage.aspx?tid=14877^","Datron HSCPro")</f>
        <v>Datron HSCPro</v>
      </c>
      <c r="B2159" s="4" t="s">
        <v>7738</v>
      </c>
      <c r="C2159" s="8" t="s">
        <v>5</v>
      </c>
      <c r="D2159" s="11" t="s">
        <v>7739</v>
      </c>
    </row>
    <row r="2160" spans="1:4" ht="30">
      <c r="A2160" s="5" t="str">
        <f>HYPERLINK("https://www.oit.va.gov/Services/TRM/ToolPage.aspx?tid=7155^","DatStat Illume Next")</f>
        <v>DatStat Illume Next</v>
      </c>
      <c r="B2160" s="4" t="s">
        <v>2495</v>
      </c>
      <c r="C2160" s="8" t="s">
        <v>5</v>
      </c>
      <c r="D2160" s="11" t="s">
        <v>2496</v>
      </c>
    </row>
    <row r="2161" spans="1:4" ht="30">
      <c r="A2161" s="5" t="str">
        <f>HYPERLINK("https://www.oit.va.gov/Services/TRM/ToolPage.aspx?tid=10342^","Font Awesome")</f>
        <v>Font Awesome</v>
      </c>
      <c r="B2161" s="4" t="s">
        <v>4145</v>
      </c>
      <c r="C2161" s="8" t="s">
        <v>5</v>
      </c>
      <c r="D2161" s="11" t="s">
        <v>4146</v>
      </c>
    </row>
    <row r="2162" spans="1:4" ht="30">
      <c r="A2162" s="5" t="str">
        <f>HYPERLINK("https://www.oit.va.gov/Services/TRM/ToolPage.aspx?tid=8939^","Redirect - Drupal Module")</f>
        <v>Redirect - Drupal Module</v>
      </c>
      <c r="B2162" s="4" t="s">
        <v>4728</v>
      </c>
      <c r="C2162" s="8" t="s">
        <v>5</v>
      </c>
      <c r="D2162" s="11" t="s">
        <v>4729</v>
      </c>
    </row>
    <row r="2163" spans="1:4" ht="30">
      <c r="A2163" s="5" t="str">
        <f>HYPERLINK("https://www.oit.va.gov/Services/TRM/ToolPage.aspx?tid=14778^","Mass Univariate Event-Related Brain Potentials (ERP) Toolbox")</f>
        <v>Mass Univariate Event-Related Brain Potentials (ERP) Toolbox</v>
      </c>
      <c r="B2163" s="4" t="s">
        <v>6826</v>
      </c>
      <c r="C2163" s="8" t="s">
        <v>5</v>
      </c>
      <c r="D2163" s="11" t="s">
        <v>4391</v>
      </c>
    </row>
    <row r="2164" spans="1:4" ht="30">
      <c r="A2164" s="5" t="str">
        <f>HYPERLINK("https://www.oit.va.gov/Services/TRM/ToolPage.aspx?tid=10376^","GLEANApp - Goals, Operators, Methods, and Selection Rules (GOMS) Language Evaluation and Analysis (GLEAN)")</f>
        <v>GLEANApp - Goals, Operators, Methods, and Selection Rules (GOMS) Language Evaluation and Analysis (GLEAN)</v>
      </c>
      <c r="B2164" s="4" t="s">
        <v>2128</v>
      </c>
      <c r="C2164" s="8" t="s">
        <v>5</v>
      </c>
      <c r="D2164" s="11" t="s">
        <v>2129</v>
      </c>
    </row>
    <row r="2165" spans="1:4" ht="30">
      <c r="A2165" s="5" t="str">
        <f>HYPERLINK("https://www.oit.va.gov/Services/TRM/ToolPage.aspx?tid=13008^","SWXMLHash")</f>
        <v>SWXMLHash</v>
      </c>
      <c r="B2165" s="4" t="s">
        <v>8768</v>
      </c>
      <c r="C2165" s="8" t="s">
        <v>5</v>
      </c>
      <c r="D2165" s="11" t="s">
        <v>3546</v>
      </c>
    </row>
    <row r="2166" spans="1:4" ht="30">
      <c r="A2166" s="5" t="str">
        <f>HYPERLINK("https://www.oit.va.gov/Services/TRM/ToolPage.aspx?tid=14259^","DAX Studio")</f>
        <v>DAX Studio</v>
      </c>
      <c r="B2166" s="4" t="s">
        <v>4003</v>
      </c>
      <c r="C2166" s="8" t="s">
        <v>5</v>
      </c>
      <c r="D2166" s="11" t="s">
        <v>683</v>
      </c>
    </row>
    <row r="2167" spans="1:4" ht="30">
      <c r="A2167" s="5" t="str">
        <f>HYPERLINK("https://www.oit.va.gov/Services/TRM/ToolPage.aspx?tid=16684^","DBeaver Enterprise")</f>
        <v>DBeaver Enterprise</v>
      </c>
      <c r="B2167" s="4" t="s">
        <v>1487</v>
      </c>
      <c r="C2167" s="8" t="s">
        <v>5</v>
      </c>
      <c r="D2167" s="11" t="s">
        <v>177</v>
      </c>
    </row>
    <row r="2168" spans="1:4" ht="30">
      <c r="A2168" s="5" t="str">
        <f>HYPERLINK("https://www.oit.va.gov/Services/TRM/ToolPage.aspx?tid=16657^","DBeaver Community")</f>
        <v>DBeaver Community</v>
      </c>
      <c r="B2168" s="4" t="s">
        <v>1487</v>
      </c>
      <c r="C2168" s="8" t="s">
        <v>5</v>
      </c>
      <c r="D2168" s="11" t="s">
        <v>3247</v>
      </c>
    </row>
    <row r="2169" spans="1:4" ht="30">
      <c r="A2169" s="5" t="str">
        <f>HYPERLINK("https://www.oit.va.gov/Services/TRM/ToolPage.aspx?tid=16554^","dbt Core")</f>
        <v>dbt Core</v>
      </c>
      <c r="B2169" s="4" t="s">
        <v>4006</v>
      </c>
      <c r="C2169" s="8" t="s">
        <v>5</v>
      </c>
      <c r="D2169" s="11" t="s">
        <v>4007</v>
      </c>
    </row>
    <row r="2170" spans="1:4" ht="30">
      <c r="A2170" s="5" t="str">
        <f>HYPERLINK("https://www.oit.va.gov/Services/TRM/ToolPage.aspx?tid=6198^","DbUnit")</f>
        <v>DbUnit</v>
      </c>
      <c r="B2170" s="4" t="s">
        <v>7741</v>
      </c>
      <c r="C2170" s="8" t="s">
        <v>5</v>
      </c>
      <c r="D2170" s="11" t="s">
        <v>7742</v>
      </c>
    </row>
    <row r="2171" spans="1:4" ht="30">
      <c r="A2171" s="5" t="str">
        <f>HYPERLINK("https://www.oit.va.gov/Services/TRM/ToolPage.aspx?tid=14164^","DbUp")</f>
        <v>DbUp</v>
      </c>
      <c r="B2171" s="4" t="s">
        <v>4008</v>
      </c>
      <c r="C2171" s="8" t="s">
        <v>5</v>
      </c>
      <c r="D2171" s="11" t="s">
        <v>4009</v>
      </c>
    </row>
    <row r="2172" spans="1:4" ht="30">
      <c r="A2172" s="5" t="str">
        <f>HYPERLINK("https://www.oit.va.gov/Services/TRM/ToolPage.aspx?tid=6315^","DbVisualizer")</f>
        <v>DbVisualizer</v>
      </c>
      <c r="B2172" s="4" t="s">
        <v>6487</v>
      </c>
      <c r="C2172" s="8" t="s">
        <v>5</v>
      </c>
      <c r="D2172" s="11" t="s">
        <v>6488</v>
      </c>
    </row>
    <row r="2173" spans="1:4" ht="30">
      <c r="A2173" s="5" t="str">
        <f>HYPERLINK("https://www.oit.va.gov/Services/TRM/ToolPage.aspx?tid=11256^","dcm4che")</f>
        <v>dcm4che</v>
      </c>
      <c r="B2173" s="4" t="s">
        <v>2497</v>
      </c>
      <c r="C2173" s="8" t="s">
        <v>5</v>
      </c>
      <c r="D2173" s="11" t="s">
        <v>1284</v>
      </c>
    </row>
    <row r="2174" spans="1:4" ht="30">
      <c r="A2174" s="5" t="str">
        <f>HYPERLINK("https://www.oit.va.gov/Services/TRM/ToolPage.aspx?tid=14277^","Flow Cytometry Standards (FCS) Express")</f>
        <v>Flow Cytometry Standards (FCS) Express</v>
      </c>
      <c r="B2174" s="4" t="s">
        <v>686</v>
      </c>
      <c r="C2174" s="8" t="s">
        <v>5</v>
      </c>
      <c r="D2174" s="11" t="s">
        <v>687</v>
      </c>
    </row>
    <row r="2175" spans="1:4" ht="30">
      <c r="A2175" s="5" t="str">
        <f>HYPERLINK("https://www.oit.va.gov/Services/TRM/ToolPage.aspx?tid=13784^","5KPlayer")</f>
        <v>5KPlayer</v>
      </c>
      <c r="B2175" s="4" t="s">
        <v>6218</v>
      </c>
      <c r="C2175" s="8" t="s">
        <v>5</v>
      </c>
      <c r="D2175" s="11" t="s">
        <v>6219</v>
      </c>
    </row>
    <row r="2176" spans="1:4" ht="30">
      <c r="A2176" s="5" t="str">
        <f>HYPERLINK("https://www.oit.va.gov/Services/TRM/ToolPage.aspx?tid=10408^","Debian Linux")</f>
        <v>Debian Linux</v>
      </c>
      <c r="B2176" s="4" t="s">
        <v>6489</v>
      </c>
      <c r="C2176" s="8" t="s">
        <v>5</v>
      </c>
      <c r="D2176" s="11" t="s">
        <v>6490</v>
      </c>
    </row>
    <row r="2177" spans="1:4" ht="30">
      <c r="A2177" s="5" t="str">
        <f>HYPERLINK("https://www.oit.va.gov/Services/TRM/ToolPage.aspx?tid=6698^","IETester")</f>
        <v>IETester</v>
      </c>
      <c r="B2177" s="4" t="s">
        <v>6188</v>
      </c>
      <c r="C2177" s="8" t="s">
        <v>5</v>
      </c>
      <c r="D2177" s="11" t="s">
        <v>6189</v>
      </c>
    </row>
    <row r="2178" spans="1:4" ht="30">
      <c r="A2178" s="5" t="str">
        <f>HYPERLINK("https://www.oit.va.gov/Services/TRM/ToolPage.aspx?tid=14685^","DeBug Mode Wax")</f>
        <v>DeBug Mode Wax</v>
      </c>
      <c r="B2178" s="4" t="s">
        <v>7743</v>
      </c>
      <c r="C2178" s="8" t="s">
        <v>5</v>
      </c>
      <c r="D2178" s="11" t="s">
        <v>7744</v>
      </c>
    </row>
    <row r="2179" spans="1:4" ht="30">
      <c r="A2179" s="5" t="str">
        <f>HYPERLINK("https://www.oit.va.gov/Services/TRM/ToolPage.aspx?tid=13112^","Wink")</f>
        <v>Wink</v>
      </c>
      <c r="B2179" s="4" t="s">
        <v>7743</v>
      </c>
      <c r="C2179" s="8" t="s">
        <v>5</v>
      </c>
      <c r="D2179" s="11" t="s">
        <v>8935</v>
      </c>
    </row>
    <row r="2180" spans="1:4" ht="30">
      <c r="A2180" s="5" t="str">
        <f>HYPERLINK("https://www.oit.va.gov/Services/TRM/ToolPage.aspx?tid=13534^","OLEtools")</f>
        <v>OLEtools</v>
      </c>
      <c r="B2180" s="4" t="s">
        <v>8359</v>
      </c>
      <c r="C2180" s="8" t="s">
        <v>5</v>
      </c>
      <c r="D2180" s="11" t="s">
        <v>5358</v>
      </c>
    </row>
    <row r="2181" spans="1:4" ht="30">
      <c r="A2181" s="5" t="str">
        <f>HYPERLINK("https://www.oit.va.gov/Services/TRM/ToolPage.aspx?tid=8376^","Decimal Suite")</f>
        <v>Decimal Suite</v>
      </c>
      <c r="B2181" s="4" t="s">
        <v>7745</v>
      </c>
      <c r="C2181" s="8" t="s">
        <v>5</v>
      </c>
      <c r="D2181" s="11" t="s">
        <v>984</v>
      </c>
    </row>
    <row r="2182" spans="1:4" ht="30">
      <c r="A2182" s="5" t="str">
        <f>HYPERLINK("https://www.oit.va.gov/Services/TRM/ToolPage.aspx?tid=14036^","Decipher TextMessage")</f>
        <v>Decipher TextMessage</v>
      </c>
      <c r="B2182" s="4" t="s">
        <v>7746</v>
      </c>
      <c r="C2182" s="8" t="s">
        <v>5</v>
      </c>
      <c r="D2182" s="11" t="s">
        <v>7747</v>
      </c>
    </row>
    <row r="2183" spans="1:4" ht="30">
      <c r="A2183" s="5" t="str">
        <f>HYPERLINK("https://www.oit.va.gov/Services/TRM/ToolPage.aspx?tid=6756^","Decision Systems, Inc. Grade of Membership (DSIGoM)")</f>
        <v>Decision Systems, Inc. Grade of Membership (DSIGoM)</v>
      </c>
      <c r="B2183" s="4" t="s">
        <v>387</v>
      </c>
      <c r="C2183" s="8" t="s">
        <v>5</v>
      </c>
      <c r="D2183" s="11" t="s">
        <v>388</v>
      </c>
    </row>
    <row r="2184" spans="1:4" ht="30">
      <c r="A2184" s="5" t="str">
        <f>HYPERLINK("https://www.oit.va.gov/Services/TRM/ToolPage.aspx?tid=14018^","Enterprise Observer")</f>
        <v>Enterprise Observer</v>
      </c>
      <c r="B2184" s="4" t="s">
        <v>4097</v>
      </c>
      <c r="C2184" s="8" t="s">
        <v>5</v>
      </c>
      <c r="D2184" s="11" t="s">
        <v>2542</v>
      </c>
    </row>
    <row r="2185" spans="1:4" ht="30">
      <c r="A2185" s="5" t="str">
        <f>HYPERLINK("https://www.oit.va.gov/Services/TRM/ToolPage.aspx?tid=11322^","Dedoose")</f>
        <v>Dedoose</v>
      </c>
      <c r="B2185" s="4" t="s">
        <v>2498</v>
      </c>
      <c r="C2185" s="8" t="s">
        <v>5</v>
      </c>
      <c r="D2185" s="11" t="s">
        <v>2499</v>
      </c>
    </row>
    <row r="2186" spans="1:4" ht="30">
      <c r="A2186" s="5" t="str">
        <f>HYPERLINK("https://www.oit.va.gov/Services/TRM/ToolPage.aspx?tid=6532^","DefendX Control")</f>
        <v>DefendX Control</v>
      </c>
      <c r="B2186" s="4" t="s">
        <v>2500</v>
      </c>
      <c r="C2186" s="8" t="s">
        <v>5</v>
      </c>
      <c r="D2186" s="11" t="s">
        <v>2501</v>
      </c>
    </row>
    <row r="2187" spans="1:4" ht="30">
      <c r="A2187" s="5" t="str">
        <f>HYPERLINK("https://www.oit.va.gov/Services/TRM/ToolPage.aspx?tid=7369^","Acquisition Requirements Roadmap Tool (ARRT)")</f>
        <v>Acquisition Requirements Roadmap Tool (ARRT)</v>
      </c>
      <c r="B2187" s="4" t="s">
        <v>2351</v>
      </c>
      <c r="C2187" s="8" t="s">
        <v>5</v>
      </c>
      <c r="D2187" s="11" t="s">
        <v>1758</v>
      </c>
    </row>
    <row r="2188" spans="1:4" ht="30">
      <c r="A2188" s="5" t="str">
        <f>HYPERLINK("https://www.oit.va.gov/Services/TRM/ToolPage.aspx?tid=8737^","Probability/Consequence Screening (PCS)")</f>
        <v>Probability/Consequence Screening (PCS)</v>
      </c>
      <c r="B2188" s="4" t="s">
        <v>2351</v>
      </c>
      <c r="C2188" s="8" t="s">
        <v>5</v>
      </c>
      <c r="D2188" s="11" t="s">
        <v>5194</v>
      </c>
    </row>
    <row r="2189" spans="1:4" ht="30">
      <c r="A2189" s="5" t="str">
        <f>HYPERLINK("https://www.oit.va.gov/Services/TRM/ToolPage.aspx?tid=14957^","Security Technical Implementation Guide (STIG) Viewer")</f>
        <v>Security Technical Implementation Guide (STIG) Viewer</v>
      </c>
      <c r="B2189" s="4" t="s">
        <v>2943</v>
      </c>
      <c r="C2189" s="8" t="s">
        <v>5</v>
      </c>
      <c r="D2189" s="11" t="s">
        <v>2944</v>
      </c>
    </row>
    <row r="2190" spans="1:4" ht="30">
      <c r="A2190" s="5" t="str">
        <f>HYPERLINK("https://www.oit.va.gov/Services/TRM/ToolPage.aspx?tid=16872^","Deister Electronics Commander")</f>
        <v>Deister Electronics Commander</v>
      </c>
      <c r="B2190" s="4" t="s">
        <v>2502</v>
      </c>
      <c r="C2190" s="8" t="s">
        <v>5</v>
      </c>
      <c r="D2190" s="11" t="s">
        <v>143</v>
      </c>
    </row>
    <row r="2191" spans="1:4" ht="30">
      <c r="A2191" s="5" t="str">
        <f>HYPERLINK("https://www.oit.va.gov/Services/TRM/ToolPage.aspx?tid=7352^","Server Suite Free")</f>
        <v>Server Suite Free</v>
      </c>
      <c r="B2191" s="4" t="s">
        <v>1917</v>
      </c>
      <c r="C2191" s="8" t="s">
        <v>5</v>
      </c>
      <c r="D2191" s="11" t="s">
        <v>1918</v>
      </c>
    </row>
    <row r="2192" spans="1:4" ht="30">
      <c r="A2192" s="5" t="str">
        <f>HYPERLINK("https://www.oit.va.gov/Services/TRM/ToolPage.aspx?tid=6545^","Centrify Zero Trust Privilege Services")</f>
        <v>Centrify Zero Trust Privilege Services</v>
      </c>
      <c r="B2192" s="4" t="s">
        <v>1917</v>
      </c>
      <c r="C2192" s="8" t="s">
        <v>5</v>
      </c>
      <c r="D2192" s="11" t="s">
        <v>2366</v>
      </c>
    </row>
    <row r="2193" spans="1:4" ht="30">
      <c r="A2193" s="5" t="str">
        <f>HYPERLINK("https://www.oit.va.gov/Services/TRM/ToolPage.aspx?tid=13353^","DirectAudit")</f>
        <v>DirectAudit</v>
      </c>
      <c r="B2193" s="4" t="s">
        <v>197</v>
      </c>
      <c r="C2193" s="8" t="s">
        <v>5</v>
      </c>
      <c r="D2193" s="11" t="s">
        <v>198</v>
      </c>
    </row>
    <row r="2194" spans="1:4" ht="30">
      <c r="A2194" s="5" t="str">
        <f>HYPERLINK("https://www.oit.va.gov/Services/TRM/ToolPage.aspx?tid=15446^","DirectControl")</f>
        <v>DirectControl</v>
      </c>
      <c r="B2194" s="4" t="s">
        <v>197</v>
      </c>
      <c r="C2194" s="8" t="s">
        <v>5</v>
      </c>
      <c r="D2194" s="11" t="s">
        <v>199</v>
      </c>
    </row>
    <row r="2195" spans="1:4" ht="30">
      <c r="A2195" s="5" t="str">
        <f>HYPERLINK("https://www.oit.va.gov/Services/TRM/ToolPage.aspx?tid=10852^","Dell OpenManage Systems Management Software")</f>
        <v>Dell OpenManage Systems Management Software</v>
      </c>
      <c r="B2195" s="4" t="s">
        <v>642</v>
      </c>
      <c r="C2195" s="8" t="s">
        <v>5</v>
      </c>
      <c r="D2195" s="11" t="s">
        <v>643</v>
      </c>
    </row>
    <row r="2196" spans="1:4" ht="30">
      <c r="A2196" s="5" t="str">
        <f>HYPERLINK("https://www.oit.va.gov/Services/TRM/ToolPage.aspx?tid=6586^","Dell Storage Manager")</f>
        <v>Dell Storage Manager</v>
      </c>
      <c r="B2196" s="4" t="s">
        <v>642</v>
      </c>
      <c r="C2196" s="8" t="s">
        <v>5</v>
      </c>
      <c r="D2196" s="11" t="s">
        <v>644</v>
      </c>
    </row>
    <row r="2197" spans="1:4" ht="30">
      <c r="A2197" s="5" t="str">
        <f>HYPERLINK("https://www.oit.va.gov/Services/TRM/ToolPage.aspx?tid=8106^","integrated Dell Remote Access Controller (iDRAC)")</f>
        <v>integrated Dell Remote Access Controller (iDRAC)</v>
      </c>
      <c r="B2197" s="4" t="s">
        <v>642</v>
      </c>
      <c r="C2197" s="8" t="s">
        <v>5</v>
      </c>
      <c r="D2197" s="11" t="s">
        <v>1637</v>
      </c>
    </row>
    <row r="2198" spans="1:4" ht="30">
      <c r="A2198" s="5" t="str">
        <f>HYPERLINK("https://www.oit.va.gov/Services/TRM/ToolPage.aspx?tid=15242^","Alienware Command Center")</f>
        <v>Alienware Command Center</v>
      </c>
      <c r="B2198" s="4" t="s">
        <v>642</v>
      </c>
      <c r="C2198" s="8" t="s">
        <v>5</v>
      </c>
      <c r="D2198" s="11" t="s">
        <v>2081</v>
      </c>
    </row>
    <row r="2199" spans="1:4" ht="30">
      <c r="A2199" s="5" t="str">
        <f>HYPERLINK("https://www.oit.va.gov/Services/TRM/ToolPage.aspx?tid=16537^","Mainframe Enablers")</f>
        <v>Mainframe Enablers</v>
      </c>
      <c r="B2199" s="4" t="s">
        <v>642</v>
      </c>
      <c r="C2199" s="8" t="s">
        <v>5</v>
      </c>
      <c r="D2199" s="11" t="s">
        <v>2153</v>
      </c>
    </row>
    <row r="2200" spans="1:4" ht="30">
      <c r="A2200" s="5" t="str">
        <f>HYPERLINK("https://www.oit.va.gov/Services/TRM/ToolPage.aspx?tid=16016^","Dell Power Manager (DPM)")</f>
        <v>Dell Power Manager (DPM)</v>
      </c>
      <c r="B2200" s="4" t="s">
        <v>642</v>
      </c>
      <c r="C2200" s="8" t="s">
        <v>5</v>
      </c>
      <c r="D2200" s="11" t="s">
        <v>1266</v>
      </c>
    </row>
    <row r="2201" spans="1:4" ht="30">
      <c r="A2201" s="5" t="str">
        <f>HYPERLINK("https://www.oit.va.gov/Services/TRM/ToolPage.aspx?tid=10939^","Host Integration Tools for Microsoft (HIT/Microsoft)")</f>
        <v>Host Integration Tools for Microsoft (HIT/Microsoft)</v>
      </c>
      <c r="B2201" s="4" t="s">
        <v>642</v>
      </c>
      <c r="C2201" s="8" t="s">
        <v>5</v>
      </c>
      <c r="D2201" s="11" t="s">
        <v>2645</v>
      </c>
    </row>
    <row r="2202" spans="1:4" ht="30">
      <c r="A2202" s="5" t="str">
        <f>HYPERLINK("https://www.oit.va.gov/Services/TRM/ToolPage.aspx?tid=15215^","Dell Operating System (OS) Recovery Tool")</f>
        <v>Dell Operating System (OS) Recovery Tool</v>
      </c>
      <c r="B2202" s="4" t="s">
        <v>642</v>
      </c>
      <c r="C2202" s="8" t="s">
        <v>5</v>
      </c>
      <c r="D2202" s="11" t="s">
        <v>4011</v>
      </c>
    </row>
    <row r="2203" spans="1:4" ht="30">
      <c r="A2203" s="5" t="str">
        <f>HYPERLINK("https://www.oit.va.gov/Services/TRM/ToolPage.aspx?tid=16479^","Dell SupportAssist")</f>
        <v>Dell SupportAssist</v>
      </c>
      <c r="B2203" s="4" t="s">
        <v>642</v>
      </c>
      <c r="C2203" s="8" t="s">
        <v>5</v>
      </c>
      <c r="D2203" s="11" t="s">
        <v>962</v>
      </c>
    </row>
    <row r="2204" spans="1:4" ht="30">
      <c r="A2204" s="5" t="str">
        <f>HYPERLINK("https://www.oit.va.gov/Services/TRM/ToolPage.aspx?tid=16216^","Dell SupportAssist Operating System (OS) Recovery Plugin")</f>
        <v>Dell SupportAssist Operating System (OS) Recovery Plugin</v>
      </c>
      <c r="B2204" s="4" t="s">
        <v>642</v>
      </c>
      <c r="C2204" s="8" t="s">
        <v>5</v>
      </c>
      <c r="D2204" s="11" t="s">
        <v>3915</v>
      </c>
    </row>
    <row r="2205" spans="1:4" ht="30">
      <c r="A2205" s="5" t="str">
        <f>HYPERLINK("https://www.oit.va.gov/Services/TRM/ToolPage.aspx?tid=11104^","Dell Backup and Recovery Manager (DBRM)")</f>
        <v>Dell Backup and Recovery Manager (DBRM)</v>
      </c>
      <c r="B2205" s="4" t="s">
        <v>642</v>
      </c>
      <c r="C2205" s="8" t="s">
        <v>5</v>
      </c>
      <c r="D2205" s="11" t="s">
        <v>5135</v>
      </c>
    </row>
    <row r="2206" spans="1:4" ht="30">
      <c r="A2206" s="5" t="str">
        <f>HYPERLINK("https://www.oit.va.gov/Services/TRM/ToolPage.aspx?tid=10936^","Host Integration Tools for VMware (HIT/VMware)")</f>
        <v>Host Integration Tools for VMware (HIT/VMware)</v>
      </c>
      <c r="B2206" s="4" t="s">
        <v>642</v>
      </c>
      <c r="C2206" s="8" t="s">
        <v>5</v>
      </c>
      <c r="D2206" s="11" t="s">
        <v>3272</v>
      </c>
    </row>
    <row r="2207" spans="1:4" ht="30">
      <c r="A2207" s="5" t="str">
        <f>HYPERLINK("https://www.oit.va.gov/Services/TRM/ToolPage.aspx?tid=5130^","PerformaSure")</f>
        <v>PerformaSure</v>
      </c>
      <c r="B2207" s="4" t="s">
        <v>642</v>
      </c>
      <c r="C2207" s="8" t="s">
        <v>5</v>
      </c>
      <c r="D2207" s="11" t="s">
        <v>5420</v>
      </c>
    </row>
    <row r="2208" spans="1:4" ht="30">
      <c r="A2208" s="5" t="str">
        <f>HYPERLINK("https://www.oit.va.gov/Services/TRM/ToolPage.aspx?tid=11424^","Dell Wyse Management Suite (WMS)")</f>
        <v>Dell Wyse Management Suite (WMS)</v>
      </c>
      <c r="B2208" s="4" t="s">
        <v>642</v>
      </c>
      <c r="C2208" s="8" t="s">
        <v>5</v>
      </c>
      <c r="D2208" s="11" t="s">
        <v>5749</v>
      </c>
    </row>
    <row r="2209" spans="1:4" ht="30">
      <c r="A2209" s="5" t="str">
        <f>HYPERLINK("https://www.oit.va.gov/Services/TRM/ToolPage.aspx?tid=11726^","OpenManage Printer Manager")</f>
        <v>OpenManage Printer Manager</v>
      </c>
      <c r="B2209" s="4" t="s">
        <v>642</v>
      </c>
      <c r="C2209" s="8" t="s">
        <v>5</v>
      </c>
      <c r="D2209" s="11" t="s">
        <v>1216</v>
      </c>
    </row>
    <row r="2210" spans="1:4" ht="30">
      <c r="A2210" s="5" t="str">
        <f>HYPERLINK("https://www.oit.va.gov/Services/TRM/ToolPage.aspx?tid=6088^","Dell Command Monitor")</f>
        <v>Dell Command Monitor</v>
      </c>
      <c r="B2210" s="4" t="s">
        <v>642</v>
      </c>
      <c r="C2210" s="8" t="s">
        <v>5</v>
      </c>
      <c r="D2210" s="11" t="s">
        <v>5795</v>
      </c>
    </row>
    <row r="2211" spans="1:4" ht="30">
      <c r="A2211" s="5" t="str">
        <f>HYPERLINK("https://www.oit.va.gov/Services/TRM/ToolPage.aspx?tid=15992^","Dell Command Update")</f>
        <v>Dell Command Update</v>
      </c>
      <c r="B2211" s="4" t="s">
        <v>642</v>
      </c>
      <c r="C2211" s="8" t="s">
        <v>5</v>
      </c>
      <c r="D2211" s="11" t="s">
        <v>4068</v>
      </c>
    </row>
    <row r="2212" spans="1:4" ht="30">
      <c r="A2212" s="5" t="str">
        <f>HYPERLINK("https://www.oit.va.gov/Services/TRM/ToolPage.aspx?tid=11775^","Dell Display Manager Application")</f>
        <v>Dell Display Manager Application</v>
      </c>
      <c r="B2212" s="4" t="s">
        <v>642</v>
      </c>
      <c r="C2212" s="8" t="s">
        <v>5</v>
      </c>
      <c r="D2212" s="11" t="s">
        <v>2011</v>
      </c>
    </row>
    <row r="2213" spans="1:4" ht="30">
      <c r="A2213" s="5" t="str">
        <f>HYPERLINK("https://www.oit.va.gov/Services/TRM/ToolPage.aspx?tid=10997^","Dell EMC SupportAssist Enterprise")</f>
        <v>Dell EMC SupportAssist Enterprise</v>
      </c>
      <c r="B2213" s="4" t="s">
        <v>642</v>
      </c>
      <c r="C2213" s="8" t="s">
        <v>5</v>
      </c>
      <c r="D2213" s="11" t="s">
        <v>6495</v>
      </c>
    </row>
    <row r="2214" spans="1:4" ht="30">
      <c r="A2214" s="5" t="str">
        <f>HYPERLINK("https://www.oit.va.gov/Services/TRM/ToolPage.aspx?tid=5603^","Dell OpenManage Server Administrator (OMSA)")</f>
        <v>Dell OpenManage Server Administrator (OMSA)</v>
      </c>
      <c r="B2214" s="4" t="s">
        <v>642</v>
      </c>
      <c r="C2214" s="8" t="s">
        <v>5</v>
      </c>
      <c r="D2214" s="11" t="s">
        <v>4484</v>
      </c>
    </row>
    <row r="2215" spans="1:4" ht="30">
      <c r="A2215" s="5" t="str">
        <f>HYPERLINK("https://www.oit.va.gov/Services/TRM/ToolPage.aspx?tid=11081^","Host Integration Tool for Linux (HIT/Linux)")</f>
        <v>Host Integration Tool for Linux (HIT/Linux)</v>
      </c>
      <c r="B2215" s="4" t="s">
        <v>642</v>
      </c>
      <c r="C2215" s="8" t="s">
        <v>5</v>
      </c>
      <c r="D2215" s="11" t="s">
        <v>491</v>
      </c>
    </row>
    <row r="2216" spans="1:4" ht="30">
      <c r="A2216" s="5" t="str">
        <f>HYPERLINK("https://www.oit.va.gov/Services/TRM/ToolPage.aspx?tid=14551^","OpenManage Enterprise")</f>
        <v>OpenManage Enterprise</v>
      </c>
      <c r="B2216" s="4" t="s">
        <v>642</v>
      </c>
      <c r="C2216" s="8" t="s">
        <v>5</v>
      </c>
      <c r="D2216" s="11" t="s">
        <v>6967</v>
      </c>
    </row>
    <row r="2217" spans="1:4" ht="30">
      <c r="A2217" s="5" t="str">
        <f>HYPERLINK("https://www.oit.va.gov/Services/TRM/ToolPage.aspx?tid=10998^","Wyse Device Manager")</f>
        <v>Wyse Device Manager</v>
      </c>
      <c r="B2217" s="4" t="s">
        <v>642</v>
      </c>
      <c r="C2217" s="8" t="s">
        <v>5</v>
      </c>
      <c r="D2217" s="11" t="s">
        <v>4019</v>
      </c>
    </row>
    <row r="2218" spans="1:4" ht="30">
      <c r="A2218" s="5" t="str">
        <f>HYPERLINK("https://www.oit.va.gov/Services/TRM/ToolPage.aspx?tid=5925^","Dell ControlVault")</f>
        <v>Dell ControlVault</v>
      </c>
      <c r="B2218" s="4" t="s">
        <v>642</v>
      </c>
      <c r="C2218" s="8" t="s">
        <v>5</v>
      </c>
      <c r="D2218" s="11" t="s">
        <v>1858</v>
      </c>
    </row>
    <row r="2219" spans="1:4" ht="30">
      <c r="A2219" s="5" t="str">
        <f>HYPERLINK("https://www.oit.va.gov/Services/TRM/ToolPage.aspx?tid=10938^","Dell EqualLogic SAN Headquarters")</f>
        <v>Dell EqualLogic SAN Headquarters</v>
      </c>
      <c r="B2219" s="4" t="s">
        <v>642</v>
      </c>
      <c r="C2219" s="8" t="s">
        <v>5</v>
      </c>
      <c r="D2219" s="11" t="s">
        <v>4074</v>
      </c>
    </row>
    <row r="2220" spans="1:4" ht="30">
      <c r="A2220" s="5" t="str">
        <f>HYPERLINK("https://www.oit.va.gov/Services/TRM/ToolPage.aspx?tid=10843^","Dell Printer Hub")</f>
        <v>Dell Printer Hub</v>
      </c>
      <c r="B2220" s="4" t="s">
        <v>642</v>
      </c>
      <c r="C2220" s="8" t="s">
        <v>5</v>
      </c>
      <c r="D2220" s="11" t="s">
        <v>7751</v>
      </c>
    </row>
    <row r="2221" spans="1:4" ht="30">
      <c r="A2221" s="5" t="str">
        <f>HYPERLINK("https://www.oit.va.gov/Services/TRM/ToolPage.aspx?tid=6283^","Dell Site Administrator for SharePoint")</f>
        <v>Dell Site Administrator for SharePoint</v>
      </c>
      <c r="B2221" s="4" t="s">
        <v>642</v>
      </c>
      <c r="C2221" s="8" t="s">
        <v>5</v>
      </c>
      <c r="D2221" s="11" t="s">
        <v>7749</v>
      </c>
    </row>
    <row r="2222" spans="1:4" ht="30">
      <c r="A2222" s="5" t="str">
        <f>HYPERLINK("https://www.oit.va.gov/Services/TRM/ToolPage.aspx?tid=6280^","Migration Manager for SharePoint")</f>
        <v>Migration Manager for SharePoint</v>
      </c>
      <c r="B2222" s="4" t="s">
        <v>642</v>
      </c>
      <c r="C2222" s="8" t="s">
        <v>5</v>
      </c>
      <c r="D2222" s="11" t="s">
        <v>2356</v>
      </c>
    </row>
    <row r="2223" spans="1:4" ht="30">
      <c r="A2223" s="5" t="str">
        <f>HYPERLINK("https://www.oit.va.gov/Services/TRM/ToolPage.aspx?tid=13854^","Remote Console Switch Software")</f>
        <v>Remote Console Switch Software</v>
      </c>
      <c r="B2223" s="4" t="s">
        <v>642</v>
      </c>
      <c r="C2223" s="8" t="s">
        <v>5</v>
      </c>
      <c r="D2223" s="11" t="s">
        <v>7136</v>
      </c>
    </row>
    <row r="2224" spans="1:4" ht="30">
      <c r="A2224" s="5" t="str">
        <f>HYPERLINK("https://www.oit.va.gov/Services/TRM/ToolPage.aspx?tid=5724^","SigmaTel Audio")</f>
        <v>SigmaTel Audio</v>
      </c>
      <c r="B2224" s="4" t="s">
        <v>642</v>
      </c>
      <c r="C2224" s="8" t="s">
        <v>5</v>
      </c>
      <c r="D2224" s="11" t="s">
        <v>8651</v>
      </c>
    </row>
    <row r="2225" spans="1:4" ht="30">
      <c r="A2225" s="5" t="str">
        <f>HYPERLINK("https://www.oit.va.gov/Services/TRM/ToolPage.aspx?tid=16010^","Waves MaxxAudio Pro")</f>
        <v>Waves MaxxAudio Pro</v>
      </c>
      <c r="B2225" s="4" t="s">
        <v>642</v>
      </c>
      <c r="C2225" s="8" t="s">
        <v>5</v>
      </c>
      <c r="D2225" s="11" t="s">
        <v>8906</v>
      </c>
    </row>
    <row r="2226" spans="1:4" ht="30">
      <c r="A2226" s="5" t="str">
        <f>HYPERLINK("https://www.oit.va.gov/Services/TRM/ToolPage.aspx?tid=5887^","Avamar")</f>
        <v>Avamar</v>
      </c>
      <c r="B2226" s="4" t="s">
        <v>585</v>
      </c>
      <c r="C2226" s="8" t="s">
        <v>5</v>
      </c>
      <c r="D2226" s="11" t="s">
        <v>586</v>
      </c>
    </row>
    <row r="2227" spans="1:4" ht="30">
      <c r="A2227" s="5" t="str">
        <f>HYPERLINK("https://www.oit.va.gov/Services/TRM/ToolPage.aspx?tid=13913^","Data Domain (DD) Boost for Veritas OpenStorage")</f>
        <v>Data Domain (DD) Boost for Veritas OpenStorage</v>
      </c>
      <c r="B2227" s="4" t="s">
        <v>585</v>
      </c>
      <c r="C2227" s="8" t="s">
        <v>5</v>
      </c>
      <c r="D2227" s="11" t="s">
        <v>1483</v>
      </c>
    </row>
    <row r="2228" spans="1:4" ht="30">
      <c r="A2228" s="5" t="str">
        <f>HYPERLINK("https://www.oit.va.gov/Services/TRM/ToolPage.aspx?tid=9521^","Data Protection Advisor")</f>
        <v>Data Protection Advisor</v>
      </c>
      <c r="B2228" s="4" t="s">
        <v>585</v>
      </c>
      <c r="C2228" s="8" t="s">
        <v>5</v>
      </c>
      <c r="D2228" s="11" t="s">
        <v>1484</v>
      </c>
    </row>
    <row r="2229" spans="1:4" ht="30">
      <c r="A2229" s="5" t="str">
        <f>HYPERLINK("https://www.oit.va.gov/Services/TRM/ToolPage.aspx?tid=10442^","Dell Adaptivity Platform")</f>
        <v>Dell Adaptivity Platform</v>
      </c>
      <c r="B2229" s="4" t="s">
        <v>585</v>
      </c>
      <c r="C2229" s="8" t="s">
        <v>5</v>
      </c>
      <c r="D2229" s="11" t="s">
        <v>1491</v>
      </c>
    </row>
    <row r="2230" spans="1:4" ht="30">
      <c r="A2230" s="5" t="str">
        <f>HYPERLINK("https://www.oit.va.gov/Services/TRM/ToolPage.aspx?tid=6077^","NetWorker")</f>
        <v>NetWorker</v>
      </c>
      <c r="B2230" s="4" t="s">
        <v>585</v>
      </c>
      <c r="C2230" s="8" t="s">
        <v>5</v>
      </c>
      <c r="D2230" s="11" t="s">
        <v>1768</v>
      </c>
    </row>
    <row r="2231" spans="1:4" ht="30">
      <c r="A2231" s="5" t="str">
        <f>HYPERLINK("https://www.oit.va.gov/Services/TRM/ToolPage.aspx?tid=9141^","EMC PowerPath")</f>
        <v>EMC PowerPath</v>
      </c>
      <c r="B2231" s="4" t="s">
        <v>585</v>
      </c>
      <c r="C2231" s="8" t="s">
        <v>5</v>
      </c>
      <c r="D2231" s="11" t="s">
        <v>2118</v>
      </c>
    </row>
    <row r="2232" spans="1:4" ht="30">
      <c r="A2232" s="5" t="str">
        <f>HYPERLINK("https://www.oit.va.gov/Services/TRM/ToolPage.aspx?tid=13863^","Dell EMC PowerProtect Oracle Recovery Manager (RMAN) Agent")</f>
        <v>Dell EMC PowerProtect Oracle Recovery Manager (RMAN) Agent</v>
      </c>
      <c r="B2232" s="4" t="s">
        <v>585</v>
      </c>
      <c r="C2232" s="8" t="s">
        <v>5</v>
      </c>
      <c r="D2232" s="11" t="s">
        <v>1022</v>
      </c>
    </row>
    <row r="2233" spans="1:4" ht="30">
      <c r="A2233" s="5" t="str">
        <f>HYPERLINK("https://www.oit.va.gov/Services/TRM/ToolPage.aspx?tid=9289^","Common Event Enabler (CEE)")</f>
        <v>Common Event Enabler (CEE)</v>
      </c>
      <c r="B2233" s="4" t="s">
        <v>585</v>
      </c>
      <c r="C2233" s="8" t="s">
        <v>5</v>
      </c>
      <c r="D2233" s="11" t="s">
        <v>1334</v>
      </c>
    </row>
    <row r="2234" spans="1:4" ht="30">
      <c r="A2234" s="5" t="str">
        <f>HYPERLINK("https://www.oit.va.gov/Services/TRM/ToolPage.aspx?tid=10411^","Dell EMC Solutions Enabler")</f>
        <v>Dell EMC Solutions Enabler</v>
      </c>
      <c r="B2234" s="4" t="s">
        <v>585</v>
      </c>
      <c r="C2234" s="8" t="s">
        <v>5</v>
      </c>
      <c r="D2234" s="11" t="s">
        <v>1695</v>
      </c>
    </row>
    <row r="2235" spans="1:4" ht="30">
      <c r="A2235" s="5" t="str">
        <f>HYPERLINK("https://www.oit.va.gov/Services/TRM/ToolPage.aspx?tid=10156^","EMC Data Domain Management Center (DDMC)")</f>
        <v>EMC Data Domain Management Center (DDMC)</v>
      </c>
      <c r="B2235" s="4" t="s">
        <v>585</v>
      </c>
      <c r="C2235" s="8" t="s">
        <v>5</v>
      </c>
      <c r="D2235" s="11" t="s">
        <v>4085</v>
      </c>
    </row>
    <row r="2236" spans="1:4" ht="30">
      <c r="A2236" s="5" t="str">
        <f>HYPERLINK("https://www.oit.va.gov/Services/TRM/ToolPage.aspx?tid=11804^","EMC Grab for Windows")</f>
        <v>EMC Grab for Windows</v>
      </c>
      <c r="B2236" s="4" t="s">
        <v>585</v>
      </c>
      <c r="C2236" s="8" t="s">
        <v>5</v>
      </c>
      <c r="D2236" s="11" t="s">
        <v>4086</v>
      </c>
    </row>
    <row r="2237" spans="1:4" ht="30">
      <c r="A2237" s="5" t="str">
        <f>HYPERLINK("https://www.oit.va.gov/Services/TRM/ToolPage.aspx?tid=10506^","Unisphere for PowerMax")</f>
        <v>Unisphere for PowerMax</v>
      </c>
      <c r="B2237" s="4" t="s">
        <v>585</v>
      </c>
      <c r="C2237" s="8" t="s">
        <v>5</v>
      </c>
      <c r="D2237" s="11" t="s">
        <v>4943</v>
      </c>
    </row>
    <row r="2238" spans="1:4" ht="30">
      <c r="A2238" s="5" t="str">
        <f>HYPERLINK("https://www.oit.va.gov/Services/TRM/ToolPage.aspx?tid=10138^","Dell EMC Data Domain Boost (DD Boost) Windows Library")</f>
        <v>Dell EMC Data Domain Boost (DD Boost) Windows Library</v>
      </c>
      <c r="B2238" s="4" t="s">
        <v>585</v>
      </c>
      <c r="C2238" s="8" t="s">
        <v>5</v>
      </c>
      <c r="D2238" s="11" t="s">
        <v>638</v>
      </c>
    </row>
    <row r="2239" spans="1:4" ht="30">
      <c r="A2239" s="5" t="str">
        <f>HYPERLINK("https://www.oit.va.gov/Services/TRM/ToolPage.aspx?tid=13794^","Dell EMC Repository Manager (DRM)")</f>
        <v>Dell EMC Repository Manager (DRM)</v>
      </c>
      <c r="B2239" s="4" t="s">
        <v>585</v>
      </c>
      <c r="C2239" s="8" t="s">
        <v>5</v>
      </c>
      <c r="D2239" s="11" t="s">
        <v>4011</v>
      </c>
    </row>
    <row r="2240" spans="1:4" ht="30">
      <c r="A2240" s="5" t="str">
        <f>HYPERLINK("https://www.oit.va.gov/Services/TRM/ToolPage.aspx?tid=12945^","Dell EMC Grab for ESXi")</f>
        <v>Dell EMC Grab for ESXi</v>
      </c>
      <c r="B2240" s="4" t="s">
        <v>585</v>
      </c>
      <c r="C2240" s="8" t="s">
        <v>5</v>
      </c>
      <c r="D2240" s="11" t="s">
        <v>2506</v>
      </c>
    </row>
    <row r="2241" spans="1:4" ht="30">
      <c r="A2241" s="5" t="str">
        <f>HYPERLINK("https://www.oit.va.gov/Services/TRM/ToolPage.aspx?tid=14807^","Dell EMC PowerProtect Microsoft Application Agent")</f>
        <v>Dell EMC PowerProtect Microsoft Application Agent</v>
      </c>
      <c r="B2241" s="4" t="s">
        <v>585</v>
      </c>
      <c r="C2241" s="8" t="s">
        <v>5</v>
      </c>
      <c r="D2241" s="11" t="s">
        <v>3222</v>
      </c>
    </row>
    <row r="2242" spans="1:4" ht="30">
      <c r="A2242" s="5" t="str">
        <f>HYPERLINK("https://www.oit.va.gov/Services/TRM/ToolPage.aspx?tid=10974^","Navisphere Command Line Interface")</f>
        <v>Navisphere Command Line Interface</v>
      </c>
      <c r="B2242" s="4" t="s">
        <v>585</v>
      </c>
      <c r="C2242" s="8" t="s">
        <v>5</v>
      </c>
      <c r="D2242" s="11" t="s">
        <v>2867</v>
      </c>
    </row>
    <row r="2243" spans="1:4" ht="30">
      <c r="A2243" s="5" t="str">
        <f>HYPERLINK("https://www.oit.va.gov/Services/TRM/ToolPage.aspx?tid=13615^","Dell Command Configure")</f>
        <v>Dell Command Configure</v>
      </c>
      <c r="B2243" s="4" t="s">
        <v>585</v>
      </c>
      <c r="C2243" s="8" t="s">
        <v>5</v>
      </c>
      <c r="D2243" s="11" t="s">
        <v>638</v>
      </c>
    </row>
    <row r="2244" spans="1:4" ht="30">
      <c r="A2244" s="5" t="str">
        <f>HYPERLINK("https://www.oit.va.gov/Services/TRM/ToolPage.aspx?tid=11776^","Dell EMC RecoverPoint Deployment Manager")</f>
        <v>Dell EMC RecoverPoint Deployment Manager</v>
      </c>
      <c r="B2244" s="4" t="s">
        <v>585</v>
      </c>
      <c r="C2244" s="8" t="s">
        <v>5</v>
      </c>
      <c r="D2244" s="11" t="s">
        <v>3120</v>
      </c>
    </row>
    <row r="2245" spans="1:4" ht="30">
      <c r="A2245" s="5" t="str">
        <f>HYPERLINK("https://www.oit.va.gov/Services/TRM/ToolPage.aspx?tid=9049^","Dell EMC Unisphere Central")</f>
        <v>Dell EMC Unisphere Central</v>
      </c>
      <c r="B2245" s="4" t="s">
        <v>585</v>
      </c>
      <c r="C2245" s="8" t="s">
        <v>5</v>
      </c>
      <c r="D2245" s="11" t="s">
        <v>6496</v>
      </c>
    </row>
    <row r="2246" spans="1:4" ht="30">
      <c r="A2246" s="5" t="str">
        <f>HYPERLINK("https://www.oit.va.gov/Services/TRM/ToolPage.aspx?tid=10388^","Navisphere Host Agent")</f>
        <v>Navisphere Host Agent</v>
      </c>
      <c r="B2246" s="4" t="s">
        <v>585</v>
      </c>
      <c r="C2246" s="8" t="s">
        <v>5</v>
      </c>
      <c r="D2246" s="11" t="s">
        <v>6909</v>
      </c>
    </row>
    <row r="2247" spans="1:4" ht="30">
      <c r="A2247" s="5" t="str">
        <f>HYPERLINK("https://www.oit.va.gov/Services/TRM/ToolPage.aspx?tid=10231^","Secure Remote Services (SRS)")</f>
        <v>Secure Remote Services (SRS)</v>
      </c>
      <c r="B2247" s="4" t="s">
        <v>585</v>
      </c>
      <c r="C2247" s="8" t="s">
        <v>5</v>
      </c>
      <c r="D2247" s="11" t="s">
        <v>2177</v>
      </c>
    </row>
    <row r="2248" spans="1:4" ht="30">
      <c r="A2248" s="5" t="str">
        <f>HYPERLINK("https://www.oit.va.gov/Services/TRM/ToolPage.aspx?tid=11325^","ViPR Controller")</f>
        <v>ViPR Controller</v>
      </c>
      <c r="B2248" s="4" t="s">
        <v>585</v>
      </c>
      <c r="C2248" s="8" t="s">
        <v>5</v>
      </c>
      <c r="D2248" s="11" t="s">
        <v>7291</v>
      </c>
    </row>
    <row r="2249" spans="1:4" ht="30">
      <c r="A2249" s="5" t="str">
        <f>HYPERLINK("https://www.oit.va.gov/Services/TRM/ToolPage.aspx?tid=12837^","EMC Grab for Unix")</f>
        <v>EMC Grab for Unix</v>
      </c>
      <c r="B2249" s="4" t="s">
        <v>585</v>
      </c>
      <c r="C2249" s="8" t="s">
        <v>5</v>
      </c>
      <c r="D2249" s="11" t="s">
        <v>4009</v>
      </c>
    </row>
    <row r="2250" spans="1:4" ht="30">
      <c r="A2250" s="5" t="str">
        <f>HYPERLINK("https://www.oit.va.gov/Services/TRM/ToolPage.aspx?tid=13154^","EMC M&amp;R")</f>
        <v>EMC M&amp;R</v>
      </c>
      <c r="B2250" s="4" t="s">
        <v>585</v>
      </c>
      <c r="C2250" s="8" t="s">
        <v>5</v>
      </c>
      <c r="D2250" s="11" t="s">
        <v>6814</v>
      </c>
    </row>
    <row r="2251" spans="1:4" ht="30">
      <c r="A2251" s="5" t="str">
        <f>HYPERLINK("https://www.oit.va.gov/Services/TRM/ToolPage.aspx?tid=13983^","Isilon Insight IQ")</f>
        <v>Isilon Insight IQ</v>
      </c>
      <c r="B2251" s="4" t="s">
        <v>585</v>
      </c>
      <c r="C2251" s="8" t="s">
        <v>5</v>
      </c>
      <c r="D2251" s="11" t="s">
        <v>8108</v>
      </c>
    </row>
    <row r="2252" spans="1:4" ht="30">
      <c r="A2252" s="5" t="str">
        <f>HYPERLINK("https://www.oit.va.gov/Services/TRM/ToolPage.aspx?tid=13861^","Open Migrator/LM")</f>
        <v>Open Migrator/LM</v>
      </c>
      <c r="B2252" s="4" t="s">
        <v>585</v>
      </c>
      <c r="C2252" s="8" t="s">
        <v>5</v>
      </c>
      <c r="D2252" s="11" t="s">
        <v>7476</v>
      </c>
    </row>
    <row r="2253" spans="1:4" ht="30">
      <c r="A2253" s="5" t="str">
        <f>HYPERLINK("https://www.oit.va.gov/Services/TRM/ToolPage.aspx?tid=9128^","Unisphere Host Agent")</f>
        <v>Unisphere Host Agent</v>
      </c>
      <c r="B2253" s="4" t="s">
        <v>585</v>
      </c>
      <c r="C2253" s="8" t="s">
        <v>5</v>
      </c>
      <c r="D2253" s="11" t="s">
        <v>6781</v>
      </c>
    </row>
    <row r="2254" spans="1:4" ht="30">
      <c r="A2254" s="5" t="str">
        <f>HYPERLINK("https://www.oit.va.gov/Services/TRM/ToolPage.aspx?tid=10480^","Dell EMC RecoverPoint")</f>
        <v>Dell EMC RecoverPoint</v>
      </c>
      <c r="B2254" s="4" t="s">
        <v>6493</v>
      </c>
      <c r="C2254" s="8" t="s">
        <v>5</v>
      </c>
      <c r="D2254" s="11" t="s">
        <v>6494</v>
      </c>
    </row>
    <row r="2255" spans="1:4" ht="30">
      <c r="A2255" s="5" t="str">
        <f>HYPERLINK("https://www.oit.va.gov/Services/TRM/ToolPage.aspx?tid=15270^","enteliWEB")</f>
        <v>enteliWEB</v>
      </c>
      <c r="B2255" s="4" t="s">
        <v>7864</v>
      </c>
      <c r="C2255" s="8" t="s">
        <v>5</v>
      </c>
      <c r="D2255" s="11" t="s">
        <v>5483</v>
      </c>
    </row>
    <row r="2256" spans="1:4" ht="30">
      <c r="A2256" s="5" t="str">
        <f>HYPERLINK("https://www.oit.va.gov/Services/TRM/ToolPage.aspx?tid=10341^","FlashLink Program Manager")</f>
        <v>FlashLink Program Manager</v>
      </c>
      <c r="B2256" s="4" t="s">
        <v>998</v>
      </c>
      <c r="C2256" s="8" t="s">
        <v>5</v>
      </c>
      <c r="D2256" s="11" t="s">
        <v>999</v>
      </c>
    </row>
    <row r="2257" spans="1:4" ht="30">
      <c r="A2257" s="5" t="str">
        <f>HYPERLINK("https://www.oit.va.gov/Services/TRM/ToolPage.aspx?tid=13706^","Acumen Fuse")</f>
        <v>Acumen Fuse</v>
      </c>
      <c r="B2257" s="4" t="s">
        <v>1225</v>
      </c>
      <c r="C2257" s="8" t="s">
        <v>5</v>
      </c>
      <c r="D2257" s="11" t="s">
        <v>1226</v>
      </c>
    </row>
    <row r="2258" spans="1:4" ht="30">
      <c r="A2258" s="5" t="str">
        <f>HYPERLINK("https://www.oit.va.gov/Services/TRM/ToolPage.aspx?tid=8639^","Risk+")</f>
        <v>Risk+</v>
      </c>
      <c r="B2258" s="4" t="s">
        <v>1225</v>
      </c>
      <c r="C2258" s="8" t="s">
        <v>5</v>
      </c>
      <c r="D2258" s="11" t="s">
        <v>8574</v>
      </c>
    </row>
    <row r="2259" spans="1:4" ht="30">
      <c r="A2259" s="5" t="str">
        <f>HYPERLINK("https://www.oit.va.gov/Services/TRM/ToolPage.aspx?tid=9458^","ReNamer")</f>
        <v>ReNamer</v>
      </c>
      <c r="B2259" s="4" t="s">
        <v>2307</v>
      </c>
      <c r="C2259" s="8" t="s">
        <v>5</v>
      </c>
      <c r="D2259" s="11" t="s">
        <v>2308</v>
      </c>
    </row>
    <row r="2260" spans="1:4" ht="30">
      <c r="A2260" s="5" t="str">
        <f>HYPERLINK("https://www.oit.va.gov/Services/TRM/ToolPage.aspx?tid=6896^","Denodo Platform")</f>
        <v>Denodo Platform</v>
      </c>
      <c r="B2260" s="4" t="s">
        <v>195</v>
      </c>
      <c r="C2260" s="8" t="s">
        <v>5</v>
      </c>
      <c r="D2260" s="11" t="s">
        <v>196</v>
      </c>
    </row>
    <row r="2261" spans="1:4" ht="30">
      <c r="A2261" s="5" t="str">
        <f>HYPERLINK("https://www.oit.va.gov/Services/TRM/ToolPage.aspx?tid=7493^","ELOG")</f>
        <v>ELOG</v>
      </c>
      <c r="B2261" s="4" t="s">
        <v>983</v>
      </c>
      <c r="C2261" s="8" t="s">
        <v>5</v>
      </c>
      <c r="D2261" s="11" t="s">
        <v>984</v>
      </c>
    </row>
    <row r="2262" spans="1:4" ht="30">
      <c r="A2262" s="5" t="str">
        <f>HYPERLINK("https://www.oit.va.gov/Services/TRM/ToolPage.aspx?tid=6482^","Atlantis Three-Dimensional (3D) Editor")</f>
        <v>Atlantis Three-Dimensional (3D) Editor</v>
      </c>
      <c r="B2262" s="4" t="s">
        <v>1321</v>
      </c>
      <c r="C2262" s="8" t="s">
        <v>5</v>
      </c>
      <c r="D2262" s="11" t="s">
        <v>1322</v>
      </c>
    </row>
    <row r="2263" spans="1:4" ht="30">
      <c r="A2263" s="5" t="str">
        <f>HYPERLINK("https://www.oit.va.gov/Services/TRM/ToolPage.aspx?tid=7914^","SIMPLANT Pro")</f>
        <v>SIMPLANT Pro</v>
      </c>
      <c r="B2263" s="4" t="s">
        <v>1321</v>
      </c>
      <c r="C2263" s="8" t="s">
        <v>5</v>
      </c>
      <c r="D2263" s="11" t="s">
        <v>3522</v>
      </c>
    </row>
    <row r="2264" spans="1:4" ht="30">
      <c r="A2264" s="5" t="str">
        <f>HYPERLINK("https://www.oit.va.gov/Services/TRM/ToolPage.aspx?tid=10935^","ATLANTIS ISUS Viewer")</f>
        <v>ATLANTIS ISUS Viewer</v>
      </c>
      <c r="B2264" s="4" t="s">
        <v>1321</v>
      </c>
      <c r="C2264" s="8" t="s">
        <v>5</v>
      </c>
      <c r="D2264" s="11" t="s">
        <v>3787</v>
      </c>
    </row>
    <row r="2265" spans="1:4" ht="30">
      <c r="A2265" s="5" t="str">
        <f>HYPERLINK("https://www.oit.va.gov/Services/TRM/ToolPage.aspx?tid=14546^","Simplant Editor")</f>
        <v>Simplant Editor</v>
      </c>
      <c r="B2265" s="4" t="s">
        <v>1321</v>
      </c>
      <c r="C2265" s="8" t="s">
        <v>5</v>
      </c>
      <c r="D2265" s="11" t="s">
        <v>5511</v>
      </c>
    </row>
    <row r="2266" spans="1:4" ht="30">
      <c r="A2266" s="5" t="str">
        <f>HYPERLINK("https://www.oit.va.gov/Services/TRM/ToolPage.aspx?tid=13106^","Sirona Connect Software")</f>
        <v>Sirona Connect Software</v>
      </c>
      <c r="B2266" s="4" t="s">
        <v>3527</v>
      </c>
      <c r="C2266" s="8" t="s">
        <v>5</v>
      </c>
      <c r="D2266" s="11" t="s">
        <v>3528</v>
      </c>
    </row>
    <row r="2267" spans="1:4" ht="30">
      <c r="A2267" s="5" t="str">
        <f>HYPERLINK("https://www.oit.va.gov/Services/TRM/ToolPage.aspx?tid=14741^","Sidexis 4")</f>
        <v>Sidexis 4</v>
      </c>
      <c r="B2267" s="4" t="s">
        <v>3527</v>
      </c>
      <c r="C2267" s="8" t="s">
        <v>5</v>
      </c>
      <c r="D2267" s="11" t="s">
        <v>2373</v>
      </c>
    </row>
    <row r="2268" spans="1:4" ht="30">
      <c r="A2268" s="5" t="str">
        <f>HYPERLINK("https://www.oit.va.gov/Services/TRM/ToolPage.aspx?tid=7957^","GALILEOS Viewer")</f>
        <v>GALILEOS Viewer</v>
      </c>
      <c r="B2268" s="4" t="s">
        <v>3527</v>
      </c>
      <c r="C2268" s="8" t="s">
        <v>5</v>
      </c>
      <c r="D2268" s="11" t="s">
        <v>5015</v>
      </c>
    </row>
    <row r="2269" spans="1:4" ht="30">
      <c r="A2269" s="5" t="str">
        <f>HYPERLINK("https://www.oit.va.gov/Services/TRM/ToolPage.aspx?tid=13570^","BusyBox")</f>
        <v>BusyBox</v>
      </c>
      <c r="B2269" s="4" t="s">
        <v>7589</v>
      </c>
      <c r="C2269" s="8" t="s">
        <v>5</v>
      </c>
      <c r="D2269" s="11" t="s">
        <v>6914</v>
      </c>
    </row>
    <row r="2270" spans="1:4" ht="30">
      <c r="A2270" s="5" t="str">
        <f>HYPERLINK("https://www.oit.va.gov/Services/TRM/ToolPage.aspx?tid=16044^","MEASUR")</f>
        <v>MEASUR</v>
      </c>
      <c r="B2270" s="4" t="s">
        <v>1715</v>
      </c>
      <c r="C2270" s="8" t="s">
        <v>5</v>
      </c>
      <c r="D2270" s="11" t="s">
        <v>1716</v>
      </c>
    </row>
    <row r="2271" spans="1:4" ht="30">
      <c r="A2271" s="5" t="str">
        <f>HYPERLINK("https://www.oit.va.gov/Services/TRM/ToolPage.aspx?tid=7771^","PopMedNet")</f>
        <v>PopMedNet</v>
      </c>
      <c r="B2271" s="4" t="s">
        <v>5430</v>
      </c>
      <c r="C2271" s="8" t="s">
        <v>5</v>
      </c>
      <c r="D2271" s="11" t="s">
        <v>5431</v>
      </c>
    </row>
    <row r="2272" spans="1:4" ht="30">
      <c r="A2272" s="5" t="str">
        <f>HYPERLINK("https://www.oit.va.gov/Services/TRM/ToolPage.aspx?tid=8676^","ChartReview")</f>
        <v>ChartReview</v>
      </c>
      <c r="B2272" s="4" t="s">
        <v>6397</v>
      </c>
      <c r="C2272" s="8" t="s">
        <v>5</v>
      </c>
      <c r="D2272" s="11" t="s">
        <v>3241</v>
      </c>
    </row>
    <row r="2273" spans="1:4" ht="30">
      <c r="A2273" s="5" t="str">
        <f>HYPERLINK("https://www.oit.va.gov/Services/TRM/ToolPage.aspx?tid=9726^","Axe DevTools Browser Extension")</f>
        <v>Axe DevTools Browser Extension</v>
      </c>
      <c r="B2273" s="4" t="s">
        <v>1338</v>
      </c>
      <c r="C2273" s="8" t="s">
        <v>5</v>
      </c>
      <c r="D2273" s="11" t="s">
        <v>1339</v>
      </c>
    </row>
    <row r="2274" spans="1:4" ht="30">
      <c r="A2274" s="5" t="str">
        <f>HYPERLINK("https://www.oit.va.gov/Services/TRM/ToolPage.aspx?tid=6626^","Axe Monitor")</f>
        <v>Axe Monitor</v>
      </c>
      <c r="B2274" s="4" t="s">
        <v>1338</v>
      </c>
      <c r="C2274" s="8" t="s">
        <v>5</v>
      </c>
      <c r="D2274" s="11" t="s">
        <v>3805</v>
      </c>
    </row>
    <row r="2275" spans="1:4" ht="30">
      <c r="A2275" s="5" t="str">
        <f>HYPERLINK("https://www.oit.va.gov/Services/TRM/ToolPage.aspx?tid=11518^","aXe-core")</f>
        <v>aXe-core</v>
      </c>
      <c r="B2275" s="4" t="s">
        <v>1338</v>
      </c>
      <c r="C2275" s="8" t="s">
        <v>5</v>
      </c>
      <c r="D2275" s="11" t="s">
        <v>3806</v>
      </c>
    </row>
    <row r="2276" spans="1:4" ht="30">
      <c r="A2276" s="5" t="str">
        <f>HYPERLINK("https://www.oit.va.gov/Services/TRM/ToolPage.aspx?tid=13815^","ChromeDriver")</f>
        <v>ChromeDriver</v>
      </c>
      <c r="B2276" s="4" t="s">
        <v>1338</v>
      </c>
      <c r="C2276" s="8" t="s">
        <v>5</v>
      </c>
      <c r="D2276" s="11" t="s">
        <v>3898</v>
      </c>
    </row>
    <row r="2277" spans="1:4" ht="30">
      <c r="A2277" s="5" t="str">
        <f>HYPERLINK("https://www.oit.va.gov/Services/TRM/ToolPage.aspx?tid=10466^","aXe")</f>
        <v>aXe</v>
      </c>
      <c r="B2277" s="4" t="s">
        <v>1338</v>
      </c>
      <c r="C2277" s="8" t="s">
        <v>5</v>
      </c>
      <c r="D2277" s="11" t="s">
        <v>6314</v>
      </c>
    </row>
    <row r="2278" spans="1:4" ht="30">
      <c r="A2278" s="5" t="str">
        <f>HYPERLINK("https://www.oit.va.gov/Services/TRM/ToolPage.aspx?tid=11334^","aXe-Webdriverjs")</f>
        <v>aXe-Webdriverjs</v>
      </c>
      <c r="B2278" s="4" t="s">
        <v>1338</v>
      </c>
      <c r="C2278" s="8" t="s">
        <v>5</v>
      </c>
      <c r="D2278" s="11" t="s">
        <v>7527</v>
      </c>
    </row>
    <row r="2279" spans="1:4" ht="30">
      <c r="A2279" s="5" t="str">
        <f>HYPERLINK("https://www.oit.va.gov/Services/TRM/ToolPage.aspx?tid=6145^","SpyWorks")</f>
        <v>SpyWorks</v>
      </c>
      <c r="B2279" s="4" t="s">
        <v>3552</v>
      </c>
      <c r="C2279" s="8" t="s">
        <v>5</v>
      </c>
      <c r="D2279" s="11" t="s">
        <v>3212</v>
      </c>
    </row>
    <row r="2280" spans="1:4" ht="30">
      <c r="A2280" s="5" t="str">
        <f>HYPERLINK("https://www.oit.va.gov/Services/TRM/ToolPage.aspx?tid=14950^","Descript")</f>
        <v>Descript</v>
      </c>
      <c r="B2280" s="4" t="s">
        <v>6501</v>
      </c>
      <c r="C2280" s="8" t="s">
        <v>5</v>
      </c>
      <c r="D2280" s="11" t="s">
        <v>2222</v>
      </c>
    </row>
    <row r="2281" spans="1:4" ht="30">
      <c r="A2281" s="5" t="str">
        <f>HYPERLINK("https://www.oit.va.gov/Services/TRM/ToolPage.aspx?tid=5941^","DESI Labeling System")</f>
        <v>DESI Labeling System</v>
      </c>
      <c r="B2281" s="4" t="s">
        <v>5137</v>
      </c>
      <c r="C2281" s="8" t="s">
        <v>5</v>
      </c>
      <c r="D2281" s="11" t="s">
        <v>5138</v>
      </c>
    </row>
    <row r="2282" spans="1:4" ht="30">
      <c r="A2282" s="5" t="str">
        <f>HYPERLINK("https://www.oit.va.gov/Services/TRM/ToolPage.aspx?tid=13872^","Document Broadcast and Record (DBR) Software")</f>
        <v>Document Broadcast and Record (DBR) Software</v>
      </c>
      <c r="B2282" s="4" t="s">
        <v>1501</v>
      </c>
      <c r="C2282" s="8" t="s">
        <v>5</v>
      </c>
      <c r="D2282" s="11" t="s">
        <v>1502</v>
      </c>
    </row>
    <row r="2283" spans="1:4" ht="30">
      <c r="A2283" s="5" t="str">
        <f>HYPERLINK("https://www.oit.va.gov/Services/TRM/ToolPage.aspx?tid=14861^","MathPlayer")</f>
        <v>MathPlayer</v>
      </c>
      <c r="B2283" s="4" t="s">
        <v>6827</v>
      </c>
      <c r="C2283" s="8" t="s">
        <v>5</v>
      </c>
      <c r="D2283" s="11" t="s">
        <v>6828</v>
      </c>
    </row>
    <row r="2284" spans="1:4" ht="30">
      <c r="A2284" s="5" t="str">
        <f>HYPERLINK("https://www.oit.va.gov/Services/TRM/ToolPage.aspx?tid=10242^","Internet Protocol (IP) Camera Viewer")</f>
        <v>Internet Protocol (IP) Camera Viewer</v>
      </c>
      <c r="B2284" s="4" t="s">
        <v>5259</v>
      </c>
      <c r="C2284" s="8" t="s">
        <v>5</v>
      </c>
      <c r="D2284" s="11" t="s">
        <v>1028</v>
      </c>
    </row>
    <row r="2285" spans="1:4" ht="30">
      <c r="A2285" s="5" t="str">
        <f>HYPERLINK("https://www.oit.va.gov/Services/TRM/ToolPage.aspx?tid=13810^","Text Speaker")</f>
        <v>Text Speaker</v>
      </c>
      <c r="B2285" s="4" t="s">
        <v>5259</v>
      </c>
      <c r="C2285" s="8" t="s">
        <v>5</v>
      </c>
      <c r="D2285" s="11" t="s">
        <v>8800</v>
      </c>
    </row>
    <row r="2286" spans="1:4" ht="30">
      <c r="A2286" s="5" t="str">
        <f>HYPERLINK("https://www.oit.va.gov/Services/TRM/ToolPage.aspx?tid=14174^","dbExpress")</f>
        <v>dbExpress</v>
      </c>
      <c r="B2286" s="4" t="s">
        <v>4004</v>
      </c>
      <c r="C2286" s="8" t="s">
        <v>5</v>
      </c>
      <c r="D2286" s="11" t="s">
        <v>4005</v>
      </c>
    </row>
    <row r="2287" spans="1:4" ht="30">
      <c r="A2287" s="5" t="str">
        <f>HYPERLINK("https://www.oit.va.gov/Services/TRM/ToolPage.aspx?tid=16696^","Devart Code Compare")</f>
        <v>Devart Code Compare</v>
      </c>
      <c r="B2287" s="4" t="s">
        <v>4004</v>
      </c>
      <c r="C2287" s="8" t="s">
        <v>5</v>
      </c>
      <c r="D2287" s="11" t="s">
        <v>4013</v>
      </c>
    </row>
    <row r="2288" spans="1:4" ht="30">
      <c r="A2288" s="5" t="str">
        <f>HYPERLINK("https://www.oit.va.gov/Services/TRM/ToolPage.aspx?tid=14983^","Open DataBase Connectivity (ODBC) Driver for PostgreSQL")</f>
        <v>Open DataBase Connectivity (ODBC) Driver for PostgreSQL</v>
      </c>
      <c r="B2288" s="4" t="s">
        <v>4004</v>
      </c>
      <c r="C2288" s="8" t="s">
        <v>5</v>
      </c>
      <c r="D2288" s="11" t="s">
        <v>4548</v>
      </c>
    </row>
    <row r="2289" spans="1:4" ht="30">
      <c r="A2289" s="5" t="str">
        <f>HYPERLINK("https://www.oit.va.gov/Services/TRM/ToolPage.aspx?tid=11086^","dbForge Structured Query Language (SQL) Complete")</f>
        <v>dbForge Structured Query Language (SQL) Complete</v>
      </c>
      <c r="B2289" s="4" t="s">
        <v>4004</v>
      </c>
      <c r="C2289" s="8" t="s">
        <v>5</v>
      </c>
      <c r="D2289" s="11" t="s">
        <v>6486</v>
      </c>
    </row>
    <row r="2290" spans="1:4" ht="30">
      <c r="A2290" s="5" t="str">
        <f>HYPERLINK("https://www.oit.va.gov/Services/TRM/ToolPage.aspx?tid=13813^","ODBC Driver for MySQL")</f>
        <v>ODBC Driver for MySQL</v>
      </c>
      <c r="B2290" s="4" t="s">
        <v>4004</v>
      </c>
      <c r="C2290" s="8" t="s">
        <v>5</v>
      </c>
      <c r="D2290" s="11" t="s">
        <v>8356</v>
      </c>
    </row>
    <row r="2291" spans="1:4" ht="30">
      <c r="A2291" s="5" t="str">
        <f>HYPERLINK("https://www.oit.va.gov/Services/TRM/ToolPage.aspx?tid=14146^","DirectoryMonitor")</f>
        <v>DirectoryMonitor</v>
      </c>
      <c r="B2291" s="4" t="s">
        <v>6518</v>
      </c>
      <c r="C2291" s="8" t="s">
        <v>5</v>
      </c>
      <c r="D2291" s="11" t="s">
        <v>6519</v>
      </c>
    </row>
    <row r="2292" spans="1:4" ht="30">
      <c r="A2292" s="5" t="str">
        <f>HYPERLINK("https://www.oit.va.gov/Services/TRM/ToolPage.aspx?tid=6562^","DevExpress ASP.NET MVC")</f>
        <v>DevExpress ASP.NET MVC</v>
      </c>
      <c r="B2292" s="4" t="s">
        <v>31</v>
      </c>
      <c r="C2292" s="8" t="s">
        <v>5</v>
      </c>
      <c r="D2292" s="11" t="s">
        <v>32</v>
      </c>
    </row>
    <row r="2293" spans="1:4" ht="30">
      <c r="A2293" s="5" t="str">
        <f>HYPERLINK("https://www.oit.va.gov/Services/TRM/ToolPage.aspx?tid=12829^","Active Server Pages (ASP).NET Asynchronous JavaScript And Extensible Markup Language (XML) (AJAX)")</f>
        <v>Active Server Pages (ASP).NET Asynchronous JavaScript And Extensible Markup Language (XML) (AJAX)</v>
      </c>
      <c r="B2293" s="4" t="s">
        <v>31</v>
      </c>
      <c r="C2293" s="8" t="s">
        <v>5</v>
      </c>
      <c r="D2293" s="11" t="s">
        <v>122</v>
      </c>
    </row>
    <row r="2294" spans="1:4" ht="30">
      <c r="A2294" s="5" t="str">
        <f>HYPERLINK("https://www.oit.va.gov/Services/TRM/ToolPage.aspx?tid=14686^","DevExtreme")</f>
        <v>DevExtreme</v>
      </c>
      <c r="B2294" s="4" t="s">
        <v>31</v>
      </c>
      <c r="C2294" s="8" t="s">
        <v>5</v>
      </c>
      <c r="D2294" s="11" t="s">
        <v>2507</v>
      </c>
    </row>
    <row r="2295" spans="1:4" ht="30">
      <c r="A2295" s="5" t="str">
        <f>HYPERLINK("https://www.oit.va.gov/Services/TRM/ToolPage.aspx?tid=16440^","CodeRush")</f>
        <v>CodeRush</v>
      </c>
      <c r="B2295" s="4" t="s">
        <v>31</v>
      </c>
      <c r="C2295" s="8" t="s">
        <v>5</v>
      </c>
      <c r="D2295" s="11" t="s">
        <v>3943</v>
      </c>
    </row>
    <row r="2296" spans="1:4" ht="30">
      <c r="A2296" s="5" t="str">
        <f>HYPERLINK("https://www.oit.va.gov/Services/TRM/ToolPage.aspx?tid=11795^","Asynchronous JavaScript and XML (AJAX) Control Toolkit NuGet Package")</f>
        <v>Asynchronous JavaScript and XML (AJAX) Control Toolkit NuGet Package</v>
      </c>
      <c r="B2296" s="4" t="s">
        <v>31</v>
      </c>
      <c r="C2296" s="8" t="s">
        <v>5</v>
      </c>
      <c r="D2296" s="11" t="s">
        <v>7498</v>
      </c>
    </row>
    <row r="2297" spans="1:4" ht="30">
      <c r="A2297" s="5" t="str">
        <f>HYPERLINK("https://www.oit.va.gov/Services/TRM/ToolPage.aspx?tid=10443^","Device42")</f>
        <v>Device42</v>
      </c>
      <c r="B2297" s="4" t="s">
        <v>506</v>
      </c>
      <c r="C2297" s="8" t="s">
        <v>5</v>
      </c>
      <c r="D2297" s="11" t="s">
        <v>507</v>
      </c>
    </row>
    <row r="2298" spans="1:4" ht="30">
      <c r="A2298" s="5" t="str">
        <f>HYPERLINK("https://www.oit.va.gov/Services/TRM/ToolPage.aspx?tid=8632^","Remote Desktop Manager")</f>
        <v>Remote Desktop Manager</v>
      </c>
      <c r="B2298" s="4" t="s">
        <v>5474</v>
      </c>
      <c r="C2298" s="8" t="s">
        <v>5</v>
      </c>
      <c r="D2298" s="11" t="s">
        <v>5475</v>
      </c>
    </row>
    <row r="2299" spans="1:4" ht="30">
      <c r="A2299" s="5" t="str">
        <f>HYPERLINK("https://www.oit.va.gov/Services/TRM/ToolPage.aspx?tid=13943^","EasyFind")</f>
        <v>EasyFind</v>
      </c>
      <c r="B2299" s="4" t="s">
        <v>7828</v>
      </c>
      <c r="C2299" s="8" t="s">
        <v>5</v>
      </c>
      <c r="D2299" s="11" t="s">
        <v>6486</v>
      </c>
    </row>
    <row r="2300" spans="1:4" ht="30">
      <c r="A2300" s="5" t="str">
        <f>HYPERLINK("https://www.oit.va.gov/Services/TRM/ToolPage.aspx?tid=14745^","Power Business Intelligence (BI) Tiles")</f>
        <v>Power Business Intelligence (BI) Tiles</v>
      </c>
      <c r="B2300" s="4" t="s">
        <v>4627</v>
      </c>
      <c r="C2300" s="8" t="s">
        <v>5</v>
      </c>
      <c r="D2300" s="11" t="s">
        <v>4628</v>
      </c>
    </row>
    <row r="2301" spans="1:4" ht="30">
      <c r="A2301" s="5" t="str">
        <f>HYPERLINK("https://www.oit.va.gov/Services/TRM/ToolPage.aspx?tid=13823^","Dexcom Web Uploader Agent")</f>
        <v>Dexcom Web Uploader Agent</v>
      </c>
      <c r="B2301" s="4" t="s">
        <v>1493</v>
      </c>
      <c r="C2301" s="8" t="s">
        <v>5</v>
      </c>
      <c r="D2301" s="11" t="s">
        <v>1494</v>
      </c>
    </row>
    <row r="2302" spans="1:4" ht="30">
      <c r="A2302" s="5" t="str">
        <f>HYPERLINK("https://www.oit.va.gov/Services/TRM/ToolPage.aspx?tid=9253^","Dexcom Clarity")</f>
        <v>Dexcom Clarity</v>
      </c>
      <c r="B2302" s="4" t="s">
        <v>1493</v>
      </c>
      <c r="C2302" s="8" t="s">
        <v>5</v>
      </c>
      <c r="D2302" s="11" t="s">
        <v>1885</v>
      </c>
    </row>
    <row r="2303" spans="1:4" ht="30">
      <c r="A2303" s="5" t="str">
        <f>HYPERLINK("https://www.oit.va.gov/Services/TRM/ToolPage.aspx?tid=13030^","Gendex VixWin Platinum")</f>
        <v>Gendex VixWin Platinum</v>
      </c>
      <c r="B2303" s="4" t="s">
        <v>2616</v>
      </c>
      <c r="C2303" s="8" t="s">
        <v>5</v>
      </c>
      <c r="D2303" s="11" t="s">
        <v>2617</v>
      </c>
    </row>
    <row r="2304" spans="1:4" ht="30">
      <c r="A2304" s="5" t="str">
        <f>HYPERLINK("https://www.oit.va.gov/Services/TRM/ToolPage.aspx?tid=6953^","DFDiscover")</f>
        <v>DFDiscover</v>
      </c>
      <c r="B2304" s="4" t="s">
        <v>389</v>
      </c>
      <c r="C2304" s="8" t="s">
        <v>5</v>
      </c>
      <c r="D2304" s="11" t="s">
        <v>390</v>
      </c>
    </row>
    <row r="2305" spans="1:4" ht="30">
      <c r="A2305" s="5" t="str">
        <f>HYPERLINK("https://www.oit.va.gov/Services/TRM/ToolPage.aspx?tid=6955^","DFsend")</f>
        <v>DFsend</v>
      </c>
      <c r="B2305" s="4" t="s">
        <v>389</v>
      </c>
      <c r="C2305" s="8" t="s">
        <v>5</v>
      </c>
      <c r="D2305" s="11" t="s">
        <v>2240</v>
      </c>
    </row>
    <row r="2306" spans="1:4" ht="30">
      <c r="A2306" s="5" t="str">
        <f>HYPERLINK("https://www.oit.va.gov/Services/TRM/ToolPage.aspx?tid=15673^","DFexplore")</f>
        <v>DFexplore</v>
      </c>
      <c r="B2306" s="4" t="s">
        <v>1495</v>
      </c>
      <c r="C2306" s="8" t="s">
        <v>5</v>
      </c>
      <c r="D2306" s="11" t="s">
        <v>1496</v>
      </c>
    </row>
    <row r="2307" spans="1:4" ht="30">
      <c r="A2307" s="5" t="str">
        <f>HYPERLINK("https://www.oit.va.gov/Services/TRM/ToolPage.aspx?tid=9334^","Total Recall Records Management")</f>
        <v>Total Recall Records Management</v>
      </c>
      <c r="B2307" s="4" t="s">
        <v>6116</v>
      </c>
      <c r="C2307" s="8" t="s">
        <v>5</v>
      </c>
      <c r="D2307" s="11" t="s">
        <v>336</v>
      </c>
    </row>
    <row r="2308" spans="1:4" ht="30">
      <c r="A2308" s="5" t="str">
        <f>HYPERLINK("https://www.oit.va.gov/Services/TRM/ToolPage.aspx?tid=15171^","DIALux evo")</f>
        <v>DIALux evo</v>
      </c>
      <c r="B2308" s="4" t="s">
        <v>6504</v>
      </c>
      <c r="C2308" s="8" t="s">
        <v>5</v>
      </c>
      <c r="D2308" s="11" t="s">
        <v>4011</v>
      </c>
    </row>
    <row r="2309" spans="1:4" ht="30">
      <c r="A2309" s="5" t="str">
        <f>HYPERLINK("https://www.oit.va.gov/Services/TRM/ToolPage.aspx?tid=12883^","Peripheral Component Interconnect (PCI) for Windows")</f>
        <v>Peripheral Component Interconnect (PCI) for Windows</v>
      </c>
      <c r="B2309" s="4" t="s">
        <v>5995</v>
      </c>
      <c r="C2309" s="8" t="s">
        <v>5</v>
      </c>
      <c r="D2309" s="11" t="s">
        <v>1071</v>
      </c>
    </row>
    <row r="2310" spans="1:4" ht="30">
      <c r="A2310" s="5" t="str">
        <f>HYPERLINK("https://www.oit.va.gov/Services/TRM/ToolPage.aspx?tid=13846^","NaturalAccess")</f>
        <v>NaturalAccess</v>
      </c>
      <c r="B2310" s="4" t="s">
        <v>5995</v>
      </c>
      <c r="C2310" s="8" t="s">
        <v>5</v>
      </c>
      <c r="D2310" s="11" t="s">
        <v>6907</v>
      </c>
    </row>
    <row r="2311" spans="1:4" ht="30">
      <c r="A2311" s="5" t="str">
        <f>HYPERLINK("https://www.oit.va.gov/Services/TRM/ToolPage.aspx?tid=13860^","SoftSS7")</f>
        <v>SoftSS7</v>
      </c>
      <c r="B2311" s="4" t="s">
        <v>5995</v>
      </c>
      <c r="C2311" s="8" t="s">
        <v>5</v>
      </c>
      <c r="D2311" s="11" t="s">
        <v>7155</v>
      </c>
    </row>
    <row r="2312" spans="1:4" ht="30">
      <c r="A2312" s="5" t="str">
        <f>HYPERLINK("https://www.oit.va.gov/Services/TRM/ToolPage.aspx?tid=15989^","Diameter Health Fusion")</f>
        <v>Diameter Health Fusion</v>
      </c>
      <c r="B2312" s="4" t="s">
        <v>5756</v>
      </c>
      <c r="C2312" s="8" t="s">
        <v>5</v>
      </c>
      <c r="D2312" s="11" t="s">
        <v>5757</v>
      </c>
    </row>
    <row r="2313" spans="1:4" ht="30">
      <c r="A2313" s="5" t="str">
        <f>HYPERLINK("https://www.oit.va.gov/Services/TRM/ToolPage.aspx?tid=15990^","Diameter Health Data Dashboard")</f>
        <v>Diameter Health Data Dashboard</v>
      </c>
      <c r="B2313" s="4" t="s">
        <v>5756</v>
      </c>
      <c r="C2313" s="8" t="s">
        <v>5</v>
      </c>
      <c r="D2313" s="11" t="s">
        <v>7756</v>
      </c>
    </row>
    <row r="2314" spans="1:4" ht="30">
      <c r="A2314" s="5" t="str">
        <f>HYPERLINK("https://www.oit.va.gov/Services/TRM/ToolPage.aspx?tid=11216^","Audia Dichotic Testing Software")</f>
        <v>Audia Dichotic Testing Software</v>
      </c>
      <c r="B2314" s="4" t="s">
        <v>2091</v>
      </c>
      <c r="C2314" s="8" t="s">
        <v>5</v>
      </c>
      <c r="D2314" s="11" t="s">
        <v>2092</v>
      </c>
    </row>
    <row r="2315" spans="1:4" ht="30">
      <c r="A2315" s="5" t="str">
        <f>HYPERLINK("https://www.oit.va.gov/Services/TRM/ToolPage.aspx?tid=9195^","DicksonWare")</f>
        <v>DicksonWare</v>
      </c>
      <c r="B2315" s="4" t="s">
        <v>5758</v>
      </c>
      <c r="C2315" s="8" t="s">
        <v>5</v>
      </c>
      <c r="D2315" s="11" t="s">
        <v>2469</v>
      </c>
    </row>
    <row r="2316" spans="1:4" ht="30">
      <c r="A2316" s="5" t="str">
        <f>HYPERLINK("https://www.oit.va.gov/Services/TRM/ToolPage.aspx?tid=15304^","OceaView")</f>
        <v>OceaView</v>
      </c>
      <c r="B2316" s="4" t="s">
        <v>5758</v>
      </c>
      <c r="C2316" s="8" t="s">
        <v>5</v>
      </c>
      <c r="D2316" s="11" t="s">
        <v>1048</v>
      </c>
    </row>
    <row r="2317" spans="1:4" ht="30">
      <c r="A2317" s="5" t="str">
        <f>HYPERLINK("https://www.oit.va.gov/Services/TRM/ToolPage.aspx?tid=14464^","MacX Video Converter")</f>
        <v>MacX Video Converter</v>
      </c>
      <c r="B2317" s="4" t="s">
        <v>3371</v>
      </c>
      <c r="C2317" s="8" t="s">
        <v>5</v>
      </c>
      <c r="D2317" s="11" t="s">
        <v>3372</v>
      </c>
    </row>
    <row r="2318" spans="1:4" ht="30">
      <c r="A2318" s="5" t="str">
        <f>HYPERLINK("https://www.oit.va.gov/Services/TRM/ToolPage.aspx?tid=15473^","DigiCert Certificate Utility for Windows")</f>
        <v>DigiCert Certificate Utility for Windows</v>
      </c>
      <c r="B2318" s="4" t="s">
        <v>5760</v>
      </c>
      <c r="C2318" s="8" t="s">
        <v>5</v>
      </c>
      <c r="D2318" s="11" t="s">
        <v>5761</v>
      </c>
    </row>
    <row r="2319" spans="1:4" ht="30">
      <c r="A2319" s="5" t="str">
        <f>HYPERLINK("https://www.oit.va.gov/Services/TRM/ToolPage.aspx?tid=8000^","DigiView Cardiovascular Information System (CVIS)")</f>
        <v>DigiView Cardiovascular Information System (CVIS)</v>
      </c>
      <c r="B2319" s="4" t="s">
        <v>1500</v>
      </c>
      <c r="C2319" s="8" t="s">
        <v>5</v>
      </c>
      <c r="D2319" s="11" t="s">
        <v>906</v>
      </c>
    </row>
    <row r="2320" spans="1:4" ht="30">
      <c r="A2320" s="5" t="str">
        <f>HYPERLINK("https://www.oit.va.gov/Services/TRM/ToolPage.aspx?tid=6755^","Digital Art Zone (DAZ) Studio")</f>
        <v>Digital Art Zone (DAZ) Studio</v>
      </c>
      <c r="B2320" s="4" t="s">
        <v>1155</v>
      </c>
      <c r="C2320" s="8" t="s">
        <v>5</v>
      </c>
      <c r="D2320" s="11" t="s">
        <v>1156</v>
      </c>
    </row>
    <row r="2321" spans="1:4" ht="30">
      <c r="A2321" s="5" t="str">
        <f>HYPERLINK("https://www.oit.va.gov/Services/TRM/ToolPage.aspx?tid=15998^","Fire Studio")</f>
        <v>Fire Studio</v>
      </c>
      <c r="B2321" s="4" t="s">
        <v>5812</v>
      </c>
      <c r="C2321" s="8" t="s">
        <v>5</v>
      </c>
      <c r="D2321" s="11" t="s">
        <v>2569</v>
      </c>
    </row>
    <row r="2322" spans="1:4" ht="30">
      <c r="A2322" s="5" t="str">
        <f>HYPERLINK("https://www.oit.va.gov/Services/TRM/ToolPage.aspx?tid=11715^","DCode")</f>
        <v>DCode</v>
      </c>
      <c r="B2322" s="4" t="s">
        <v>5131</v>
      </c>
      <c r="C2322" s="8" t="s">
        <v>5</v>
      </c>
      <c r="D2322" s="11" t="s">
        <v>5132</v>
      </c>
    </row>
    <row r="2323" spans="1:4" ht="30">
      <c r="A2323" s="5" t="str">
        <f>HYPERLINK("https://www.oit.va.gov/Services/TRM/ToolPage.aspx?tid=14902^","Digital Imaging and Communications (DICOM) Validation Tool (DVT)")</f>
        <v>Digital Imaging and Communications (DICOM) Validation Tool (DVT)</v>
      </c>
      <c r="B2323" s="4" t="s">
        <v>6512</v>
      </c>
      <c r="C2323" s="8" t="s">
        <v>5</v>
      </c>
      <c r="D2323" s="11" t="s">
        <v>3914</v>
      </c>
    </row>
    <row r="2324" spans="1:4" ht="30">
      <c r="A2324" s="5" t="str">
        <f>HYPERLINK("https://www.oit.va.gov/Services/TRM/ToolPage.aspx?tid=7627^","Digital Juice Editor`s Toolkit Pro Single 094: Center Focus")</f>
        <v>Digital Juice Editor`s Toolkit Pro Single 094: Center Focus</v>
      </c>
      <c r="B2324" s="4" t="s">
        <v>6514</v>
      </c>
      <c r="C2324" s="8" t="s">
        <v>5</v>
      </c>
      <c r="D2324" s="11" t="s">
        <v>6515</v>
      </c>
    </row>
    <row r="2325" spans="1:4" ht="30">
      <c r="A2325" s="5" t="str">
        <f>HYPERLINK("https://www.oit.va.gov/Services/TRM/ToolPage.aspx?tid=7628^","Digital Juice Editor`s Toolkit Pro Single 101: Light Strokes")</f>
        <v>Digital Juice Editor`s Toolkit Pro Single 101: Light Strokes</v>
      </c>
      <c r="B2325" s="4" t="s">
        <v>6514</v>
      </c>
      <c r="C2325" s="8" t="s">
        <v>5</v>
      </c>
      <c r="D2325" s="11" t="s">
        <v>6516</v>
      </c>
    </row>
    <row r="2326" spans="1:4" ht="30">
      <c r="A2326" s="5" t="str">
        <f>HYPERLINK("https://www.oit.va.gov/Services/TRM/ToolPage.aspx?tid=7631^","Digital Juice Editor`s Toolkit Pro Single 138: Aura Halo")</f>
        <v>Digital Juice Editor`s Toolkit Pro Single 138: Aura Halo</v>
      </c>
      <c r="B2326" s="4" t="s">
        <v>6514</v>
      </c>
      <c r="C2326" s="8" t="s">
        <v>5</v>
      </c>
      <c r="D2326" s="11" t="s">
        <v>6516</v>
      </c>
    </row>
    <row r="2327" spans="1:4" ht="30">
      <c r="A2327" s="5" t="str">
        <f>HYPERLINK("https://www.oit.va.gov/Services/TRM/ToolPage.aspx?tid=7633^","Digital Juice Editor`s Toolkit Pro Single 162: Digital Bloom")</f>
        <v>Digital Juice Editor`s Toolkit Pro Single 162: Digital Bloom</v>
      </c>
      <c r="B2327" s="4" t="s">
        <v>6514</v>
      </c>
      <c r="C2327" s="8" t="s">
        <v>5</v>
      </c>
      <c r="D2327" s="11" t="s">
        <v>6516</v>
      </c>
    </row>
    <row r="2328" spans="1:4" ht="30">
      <c r="A2328" s="5" t="str">
        <f>HYPERLINK("https://www.oit.va.gov/Services/TRM/ToolPage.aspx?tid=7629^","Digital Juice Editor`s Toolkit Pro Single 106: Particle Rain")</f>
        <v>Digital Juice Editor`s Toolkit Pro Single 106: Particle Rain</v>
      </c>
      <c r="B2328" s="4" t="s">
        <v>6514</v>
      </c>
      <c r="C2328" s="8" t="s">
        <v>5</v>
      </c>
      <c r="D2328" s="11" t="s">
        <v>615</v>
      </c>
    </row>
    <row r="2329" spans="1:4" ht="30">
      <c r="A2329" s="5" t="str">
        <f>HYPERLINK("https://www.oit.va.gov/Services/TRM/ToolPage.aspx?tid=7630^","Digital Juice Editor`s Toolkit Pro Single 117: Color Waves")</f>
        <v>Digital Juice Editor`s Toolkit Pro Single 117: Color Waves</v>
      </c>
      <c r="B2329" s="4" t="s">
        <v>6514</v>
      </c>
      <c r="C2329" s="8" t="s">
        <v>5</v>
      </c>
      <c r="D2329" s="11" t="s">
        <v>6516</v>
      </c>
    </row>
    <row r="2330" spans="1:4" ht="30">
      <c r="A2330" s="5" t="str">
        <f>HYPERLINK("https://www.oit.va.gov/Services/TRM/ToolPage.aspx?tid=7632^","Digital Juice Editor`s Toolkit Pro Single 158: Ribbon Flow")</f>
        <v>Digital Juice Editor`s Toolkit Pro Single 158: Ribbon Flow</v>
      </c>
      <c r="B2330" s="4" t="s">
        <v>6514</v>
      </c>
      <c r="C2330" s="8" t="s">
        <v>5</v>
      </c>
      <c r="D2330" s="11" t="s">
        <v>7769</v>
      </c>
    </row>
    <row r="2331" spans="1:4" ht="30">
      <c r="A2331" s="5" t="str">
        <f>HYPERLINK("https://www.oit.va.gov/Services/TRM/ToolPage.aspx?tid=7640^","Digital Juice Ready2Go Projects and Templates for After Effects - Collection 17")</f>
        <v>Digital Juice Ready2Go Projects and Templates for After Effects - Collection 17</v>
      </c>
      <c r="B2331" s="4" t="s">
        <v>6514</v>
      </c>
      <c r="C2331" s="8" t="s">
        <v>5</v>
      </c>
      <c r="D2331" s="11" t="s">
        <v>7770</v>
      </c>
    </row>
    <row r="2332" spans="1:4" ht="30">
      <c r="A2332" s="5" t="str">
        <f>HYPERLINK("https://www.oit.va.gov/Services/TRM/ToolPage.aspx?tid=7635^","Digital Juice Ready2Go Projects and Templates for After Effects - Collection 18")</f>
        <v>Digital Juice Ready2Go Projects and Templates for After Effects - Collection 18</v>
      </c>
      <c r="B2332" s="4" t="s">
        <v>6514</v>
      </c>
      <c r="C2332" s="8" t="s">
        <v>5</v>
      </c>
      <c r="D2332" s="11" t="s">
        <v>7771</v>
      </c>
    </row>
    <row r="2333" spans="1:4" ht="30">
      <c r="A2333" s="5" t="str">
        <f>HYPERLINK("https://www.oit.va.gov/Services/TRM/ToolPage.aspx?tid=7636^","Digital Juice Ready2Go Projects and Templates for After Effects - Collection 19")</f>
        <v>Digital Juice Ready2Go Projects and Templates for After Effects - Collection 19</v>
      </c>
      <c r="B2333" s="4" t="s">
        <v>6514</v>
      </c>
      <c r="C2333" s="8" t="s">
        <v>5</v>
      </c>
      <c r="D2333" s="11" t="s">
        <v>6516</v>
      </c>
    </row>
    <row r="2334" spans="1:4" ht="30">
      <c r="A2334" s="5" t="str">
        <f>HYPERLINK("https://www.oit.va.gov/Services/TRM/ToolPage.aspx?tid=10619^","Juicer")</f>
        <v>Juicer</v>
      </c>
      <c r="B2334" s="4" t="s">
        <v>6514</v>
      </c>
      <c r="C2334" s="8" t="s">
        <v>5</v>
      </c>
      <c r="D2334" s="11" t="s">
        <v>4318</v>
      </c>
    </row>
    <row r="2335" spans="1:4" ht="30">
      <c r="A2335" s="5" t="str">
        <f>HYPERLINK("https://www.oit.va.gov/Services/TRM/ToolPage.aspx?tid=16136^","Digital Monitoring Products (DMP) Remote Link")</f>
        <v>Digital Monitoring Products (DMP) Remote Link</v>
      </c>
      <c r="B2335" s="4" t="s">
        <v>1498</v>
      </c>
      <c r="C2335" s="8" t="s">
        <v>5</v>
      </c>
      <c r="D2335" s="11" t="s">
        <v>1499</v>
      </c>
    </row>
    <row r="2336" spans="1:4" ht="30">
      <c r="A2336" s="5" t="str">
        <f>HYPERLINK("https://www.oit.va.gov/Services/TRM/ToolPage.aspx?tid=5954^","DVD Shrink")</f>
        <v>DVD Shrink</v>
      </c>
      <c r="B2336" s="4" t="s">
        <v>7814</v>
      </c>
      <c r="C2336" s="8" t="s">
        <v>5</v>
      </c>
      <c r="D2336" s="11" t="s">
        <v>2317</v>
      </c>
    </row>
    <row r="2337" spans="1:4" ht="30">
      <c r="A2337" s="5" t="str">
        <f>HYPERLINK("https://www.oit.va.gov/Services/TRM/ToolPage.aspx?tid=14776^","UltraView Desktop Manager")</f>
        <v>UltraView Desktop Manager</v>
      </c>
      <c r="B2337" s="4" t="s">
        <v>8841</v>
      </c>
      <c r="C2337" s="8" t="s">
        <v>5</v>
      </c>
      <c r="D2337" s="11" t="s">
        <v>919</v>
      </c>
    </row>
    <row r="2338" spans="1:4" ht="30">
      <c r="A2338" s="5" t="str">
        <f>HYPERLINK("https://www.oit.va.gov/Services/TRM/ToolPage.aspx?tid=14834^","VISION System")</f>
        <v>VISION System</v>
      </c>
      <c r="B2338" s="4" t="s">
        <v>3618</v>
      </c>
      <c r="C2338" s="8" t="s">
        <v>5</v>
      </c>
      <c r="D2338" s="11" t="s">
        <v>3619</v>
      </c>
    </row>
    <row r="2339" spans="1:4" ht="30">
      <c r="A2339" s="5" t="str">
        <f>HYPERLINK("https://www.oit.va.gov/Services/TRM/ToolPage.aspx?tid=14276^","Duplicate Cleaner")</f>
        <v>Duplicate Cleaner</v>
      </c>
      <c r="B2339" s="4" t="s">
        <v>6552</v>
      </c>
      <c r="C2339" s="8" t="s">
        <v>5</v>
      </c>
      <c r="D2339" s="11" t="s">
        <v>6553</v>
      </c>
    </row>
    <row r="2340" spans="1:4" ht="30">
      <c r="A2340" s="5" t="str">
        <f>HYPERLINK("https://www.oit.va.gov/Services/TRM/ToolPage.aspx?tid=15130^","Digital.ai Agility")</f>
        <v>Digital.ai Agility</v>
      </c>
      <c r="B2340" s="4" t="s">
        <v>22</v>
      </c>
      <c r="C2340" s="8" t="s">
        <v>5</v>
      </c>
      <c r="D2340" s="11" t="s">
        <v>23</v>
      </c>
    </row>
    <row r="2341" spans="1:4" ht="30">
      <c r="A2341" s="5" t="str">
        <f>HYPERLINK("https://www.oit.va.gov/Services/TRM/ToolPage.aspx?tid=15241^","Subversion Edge")</f>
        <v>Subversion Edge</v>
      </c>
      <c r="B2341" s="4" t="s">
        <v>22</v>
      </c>
      <c r="C2341" s="8" t="s">
        <v>5</v>
      </c>
      <c r="D2341" s="11" t="s">
        <v>1213</v>
      </c>
    </row>
    <row r="2342" spans="1:4" ht="30">
      <c r="A2342" s="5" t="str">
        <f>HYPERLINK("https://www.oit.va.gov/Services/TRM/ToolPage.aspx?tid=9457^","Onis")</f>
        <v>Onis</v>
      </c>
      <c r="B2342" s="4" t="s">
        <v>445</v>
      </c>
      <c r="C2342" s="8" t="s">
        <v>5</v>
      </c>
      <c r="D2342" s="11" t="s">
        <v>446</v>
      </c>
    </row>
    <row r="2343" spans="1:4" ht="30">
      <c r="A2343" s="5" t="str">
        <f>HYPERLINK("https://www.oit.va.gov/Services/TRM/ToolPage.aspx?tid=7522^","Sparky Universal Serial Bus (USB) Recorder Software")</f>
        <v>Sparky Universal Serial Bus (USB) Recorder Software</v>
      </c>
      <c r="B2343" s="4" t="s">
        <v>3544</v>
      </c>
      <c r="C2343" s="8" t="s">
        <v>5</v>
      </c>
      <c r="D2343" s="11" t="s">
        <v>3545</v>
      </c>
    </row>
    <row r="2344" spans="1:4" ht="30">
      <c r="A2344" s="5" t="str">
        <f>HYPERLINK("https://www.oit.va.gov/Services/TRM/ToolPage.aspx?tid=16408^","DigitalOptometrics")</f>
        <v>DigitalOptometrics</v>
      </c>
      <c r="B2344" s="4" t="s">
        <v>5142</v>
      </c>
      <c r="C2344" s="8" t="s">
        <v>5</v>
      </c>
      <c r="D2344" s="11" t="s">
        <v>5143</v>
      </c>
    </row>
    <row r="2345" spans="1:4" ht="30">
      <c r="A2345" s="5" t="str">
        <f>HYPERLINK("https://www.oit.va.gov/Services/TRM/ToolPage.aspx?tid=16407^","Reichert Redis Server Encoder")</f>
        <v>Reichert Redis Server Encoder</v>
      </c>
      <c r="B2345" s="4" t="s">
        <v>5142</v>
      </c>
      <c r="C2345" s="8" t="s">
        <v>5</v>
      </c>
      <c r="D2345" s="11" t="s">
        <v>8550</v>
      </c>
    </row>
    <row r="2346" spans="1:4" ht="30">
      <c r="A2346" s="5" t="str">
        <f>HYPERLINK("https://www.oit.va.gov/Services/TRM/ToolPage.aspx?tid=13161^","PaperVision Capture")</f>
        <v>PaperVision Capture</v>
      </c>
      <c r="B2346" s="4" t="s">
        <v>5411</v>
      </c>
      <c r="C2346" s="8" t="s">
        <v>5</v>
      </c>
      <c r="D2346" s="11" t="s">
        <v>105</v>
      </c>
    </row>
    <row r="2347" spans="1:4" ht="30">
      <c r="A2347" s="5" t="str">
        <f>HYPERLINK("https://www.oit.va.gov/Services/TRM/ToolPage.aspx?tid=7431^","HemaTrax")</f>
        <v>HemaTrax</v>
      </c>
      <c r="B2347" s="4" t="s">
        <v>2640</v>
      </c>
      <c r="C2347" s="8" t="s">
        <v>5</v>
      </c>
      <c r="D2347" s="11" t="s">
        <v>17</v>
      </c>
    </row>
    <row r="2348" spans="1:4" ht="30">
      <c r="A2348" s="5" t="str">
        <f>HYPERLINK("https://www.oit.va.gov/Services/TRM/ToolPage.aspx?tid=8149^","HemaTrax-Cellular Therapy (CT)")</f>
        <v>HemaTrax-Cellular Therapy (CT)</v>
      </c>
      <c r="B2348" s="4" t="s">
        <v>2640</v>
      </c>
      <c r="C2348" s="8" t="s">
        <v>5</v>
      </c>
      <c r="D2348" s="11" t="s">
        <v>2637</v>
      </c>
    </row>
    <row r="2349" spans="1:4" ht="30">
      <c r="A2349" s="5" t="str">
        <f>HYPERLINK("https://www.oit.va.gov/Services/TRM/ToolPage.aspx?tid=8418^","PDF Text Converter")</f>
        <v>PDF Text Converter</v>
      </c>
      <c r="B2349" s="4" t="s">
        <v>8410</v>
      </c>
      <c r="C2349" s="8" t="s">
        <v>5</v>
      </c>
      <c r="D2349" s="11" t="s">
        <v>7800</v>
      </c>
    </row>
    <row r="2350" spans="1:4" ht="30">
      <c r="A2350" s="5" t="str">
        <f>HYPERLINK("https://www.oit.va.gov/Services/TRM/ToolPage.aspx?tid=13985^","Doxygen")</f>
        <v>Doxygen</v>
      </c>
      <c r="B2350" s="4" t="s">
        <v>6536</v>
      </c>
      <c r="C2350" s="8" t="s">
        <v>5</v>
      </c>
      <c r="D2350" s="11" t="s">
        <v>3176</v>
      </c>
    </row>
    <row r="2351" spans="1:4" ht="30">
      <c r="A2351" s="5" t="str">
        <f>HYPERLINK("https://www.oit.va.gov/Services/TRM/ToolPage.aspx?tid=7226^","DotNetZip")</f>
        <v>DotNetZip</v>
      </c>
      <c r="B2351" s="4" t="s">
        <v>7793</v>
      </c>
      <c r="C2351" s="8" t="s">
        <v>5</v>
      </c>
      <c r="D2351" s="11" t="s">
        <v>7606</v>
      </c>
    </row>
    <row r="2352" spans="1:4" ht="30">
      <c r="A2352" s="5" t="str">
        <f>HYPERLINK("https://www.oit.va.gov/Services/TRM/ToolPage.aspx?tid=14049^","DinoCapture 2.0")</f>
        <v>DinoCapture 2.0</v>
      </c>
      <c r="B2352" s="4" t="s">
        <v>356</v>
      </c>
      <c r="C2352" s="8" t="s">
        <v>5</v>
      </c>
      <c r="D2352" s="11" t="s">
        <v>357</v>
      </c>
    </row>
    <row r="2353" spans="1:4" ht="30">
      <c r="A2353" s="5" t="str">
        <f>HYPERLINK("https://www.oit.va.gov/Services/TRM/ToolPage.aspx?tid=6779^","T-REX")</f>
        <v>T-REX</v>
      </c>
      <c r="B2353" s="4" t="s">
        <v>4931</v>
      </c>
      <c r="C2353" s="8" t="s">
        <v>5</v>
      </c>
      <c r="D2353" s="11" t="s">
        <v>3247</v>
      </c>
    </row>
    <row r="2354" spans="1:4" ht="30">
      <c r="A2354" s="5" t="str">
        <f>HYPERLINK("https://www.oit.va.gov/Services/TRM/ToolPage.aspx?tid=16722^","Universal Data Manager (UDM)")</f>
        <v>Universal Data Manager (UDM)</v>
      </c>
      <c r="B2354" s="4" t="s">
        <v>4931</v>
      </c>
      <c r="C2354" s="8" t="s">
        <v>5</v>
      </c>
      <c r="D2354" s="11" t="s">
        <v>4948</v>
      </c>
    </row>
    <row r="2355" spans="1:4" ht="30">
      <c r="A2355" s="5" t="str">
        <f>HYPERLINK("https://www.oit.va.gov/Services/TRM/ToolPage.aspx?tid=8537^","RealTime Defrag (RTD)")</f>
        <v>RealTime Defrag (RTD)</v>
      </c>
      <c r="B2355" s="4" t="s">
        <v>4931</v>
      </c>
      <c r="C2355" s="8" t="s">
        <v>5</v>
      </c>
      <c r="D2355" s="11" t="s">
        <v>6031</v>
      </c>
    </row>
    <row r="2356" spans="1:4" ht="30">
      <c r="A2356" s="5" t="str">
        <f>HYPERLINK("https://www.oit.va.gov/Services/TRM/ToolPage.aspx?tid=10090^","E-LINE by DIRAK Administration Suite")</f>
        <v>E-LINE by DIRAK Administration Suite</v>
      </c>
      <c r="B2356" s="4" t="s">
        <v>512</v>
      </c>
      <c r="C2356" s="8" t="s">
        <v>5</v>
      </c>
      <c r="D2356" s="11" t="s">
        <v>513</v>
      </c>
    </row>
    <row r="2357" spans="1:4" ht="30">
      <c r="A2357" s="5" t="str">
        <f>HYPERLINK("https://www.oit.va.gov/Services/TRM/ToolPage.aspx?tid=14876^","Color Byte RIP")</f>
        <v>Color Byte RIP</v>
      </c>
      <c r="B2357" s="4" t="s">
        <v>6441</v>
      </c>
      <c r="C2357" s="8" t="s">
        <v>5</v>
      </c>
      <c r="D2357" s="11" t="s">
        <v>1413</v>
      </c>
    </row>
    <row r="2358" spans="1:4" ht="30">
      <c r="A2358" s="5" t="str">
        <f>HYPERLINK("https://www.oit.va.gov/Services/TRM/ToolPage.aspx?tid=8171^","Office of the National Coordinator for Health Information Technology (ONC) Direct Reference Implementation")</f>
        <v>Office of the National Coordinator for Health Information Technology (ONC) Direct Reference Implementation</v>
      </c>
      <c r="B2358" s="4" t="s">
        <v>2817</v>
      </c>
      <c r="C2358" s="8" t="s">
        <v>5</v>
      </c>
      <c r="D2358" s="11" t="s">
        <v>2818</v>
      </c>
    </row>
    <row r="2359" spans="1:4" ht="30">
      <c r="A2359" s="5" t="str">
        <f>HYPERLINK("https://www.oit.va.gov/Services/TRM/StandardPage.aspx?tid=16309^","Applicability Statement for Secure Health Transport (Direct)")</f>
        <v>Applicability Statement for Secure Health Transport (Direct)</v>
      </c>
      <c r="B2359" s="4" t="s">
        <v>2087</v>
      </c>
      <c r="C2359" s="8" t="s">
        <v>5</v>
      </c>
      <c r="D2359" s="11" t="s">
        <v>2088</v>
      </c>
    </row>
    <row r="2360" spans="1:4" ht="30">
      <c r="A2360" s="5" t="str">
        <f>HYPERLINK("https://www.oit.va.gov/Services/TRM/ToolPage.aspx?tid=10422^","Daemon Tools Lite")</f>
        <v>Daemon Tools Lite</v>
      </c>
      <c r="B2360" s="4" t="s">
        <v>5128</v>
      </c>
      <c r="C2360" s="8" t="s">
        <v>5</v>
      </c>
      <c r="D2360" s="11" t="s">
        <v>3215</v>
      </c>
    </row>
    <row r="2361" spans="1:4" ht="30">
      <c r="A2361" s="5" t="str">
        <f>HYPERLINK("https://www.oit.va.gov/Services/TRM/ToolPage.aspx?tid=15316^","Discharge 1-2-3 Composer Edition Software")</f>
        <v>Discharge 1-2-3 Composer Edition Software</v>
      </c>
      <c r="B2361" s="4" t="s">
        <v>5768</v>
      </c>
      <c r="C2361" s="8" t="s">
        <v>5</v>
      </c>
      <c r="D2361" s="11" t="s">
        <v>5769</v>
      </c>
    </row>
    <row r="2362" spans="1:4" ht="30">
      <c r="A2362" s="5" t="str">
        <f>HYPERLINK("https://www.oit.va.gov/Services/TRM/ToolPage.aspx?tid=15282^","Discord")</f>
        <v>Discord</v>
      </c>
      <c r="B2362" s="4" t="s">
        <v>6520</v>
      </c>
      <c r="C2362" s="8" t="s">
        <v>5</v>
      </c>
      <c r="D2362" s="11" t="s">
        <v>1212</v>
      </c>
    </row>
    <row r="2363" spans="1:4" ht="30">
      <c r="A2363" s="5" t="str">
        <f>HYPERLINK("https://www.oit.va.gov/Services/TRM/ToolPage.aspx?tid=16736^","RCA Customer Programming Software")</f>
        <v>RCA Customer Programming Software</v>
      </c>
      <c r="B2363" s="4" t="s">
        <v>6026</v>
      </c>
      <c r="C2363" s="8" t="s">
        <v>5</v>
      </c>
      <c r="D2363" s="11" t="s">
        <v>201</v>
      </c>
    </row>
    <row r="2364" spans="1:4" ht="30">
      <c r="A2364" s="5" t="str">
        <f>HYPERLINK("https://www.oit.va.gov/Services/TRM/ToolPage.aspx?tid=15826^","Discourse On-Premises")</f>
        <v>Discourse On-Premises</v>
      </c>
      <c r="B2364" s="4" t="s">
        <v>6521</v>
      </c>
      <c r="C2364" s="8" t="s">
        <v>5</v>
      </c>
      <c r="D2364" s="11" t="s">
        <v>6522</v>
      </c>
    </row>
    <row r="2365" spans="1:4" ht="30">
      <c r="A2365" s="5" t="str">
        <f>HYPERLINK("https://www.oit.va.gov/Services/TRM/ToolPage.aspx?tid=8417^","Discover Access for SharePoint Farm Solution")</f>
        <v>Discover Access for SharePoint Farm Solution</v>
      </c>
      <c r="B2365" s="4" t="s">
        <v>7775</v>
      </c>
      <c r="C2365" s="8" t="s">
        <v>5</v>
      </c>
      <c r="D2365" s="11" t="s">
        <v>5353</v>
      </c>
    </row>
    <row r="2366" spans="1:4" ht="30">
      <c r="A2366" s="5" t="str">
        <f>HYPERLINK("https://www.oit.va.gov/Services/TRM/ToolPage.aspx?tid=14302^","DiskGenius")</f>
        <v>DiskGenius</v>
      </c>
      <c r="B2366" s="4" t="s">
        <v>7777</v>
      </c>
      <c r="C2366" s="8" t="s">
        <v>5</v>
      </c>
      <c r="D2366" s="11" t="s">
        <v>5218</v>
      </c>
    </row>
    <row r="2367" spans="1:4" ht="30">
      <c r="A2367" s="5" t="str">
        <f>HYPERLINK("https://www.oit.va.gov/Services/TRM/ToolPage.aspx?tid=16128^","2sxc")</f>
        <v>2sxc</v>
      </c>
      <c r="B2367" s="4" t="s">
        <v>3684</v>
      </c>
      <c r="C2367" s="8" t="s">
        <v>5</v>
      </c>
      <c r="D2367" s="11" t="s">
        <v>1374</v>
      </c>
    </row>
    <row r="2368" spans="1:4" ht="30">
      <c r="A2368" s="5" t="str">
        <f>HYPERLINK("https://www.oit.va.gov/Services/TRM/ToolPage.aspx?tid=7141^","Automated Acquisition Management Solution (AAMS)")</f>
        <v>Automated Acquisition Management Solution (AAMS)</v>
      </c>
      <c r="B2368" s="4" t="s">
        <v>1325</v>
      </c>
      <c r="C2368" s="8" t="s">
        <v>5</v>
      </c>
      <c r="D2368" s="11" t="s">
        <v>1326</v>
      </c>
    </row>
    <row r="2369" spans="1:4" ht="30">
      <c r="A2369" s="5" t="str">
        <f>HYPERLINK("https://www.oit.va.gov/Services/TRM/ToolPage.aspx?tid=7952^","eAgent Client for Desktops")</f>
        <v>eAgent Client for Desktops</v>
      </c>
      <c r="B2369" s="4" t="s">
        <v>976</v>
      </c>
      <c r="C2369" s="8" t="s">
        <v>5</v>
      </c>
      <c r="D2369" s="11" t="s">
        <v>977</v>
      </c>
    </row>
    <row r="2370" spans="1:4" ht="30">
      <c r="A2370" s="5" t="str">
        <f>HYPERLINK("https://www.oit.va.gov/Services/TRM/ToolPage.aspx?tid=5606^","DivX Codec")</f>
        <v>DivX Codec</v>
      </c>
      <c r="B2370" s="4" t="s">
        <v>2510</v>
      </c>
      <c r="C2370" s="8" t="s">
        <v>5</v>
      </c>
      <c r="D2370" s="11" t="s">
        <v>2511</v>
      </c>
    </row>
    <row r="2371" spans="1:4" ht="30">
      <c r="A2371" s="5" t="str">
        <f>HYPERLINK("https://www.oit.va.gov/Services/TRM/ToolPage.aspx?tid=16756^","OpenSearch")</f>
        <v>OpenSearch</v>
      </c>
      <c r="B2371" s="4" t="s">
        <v>2826</v>
      </c>
      <c r="C2371" s="8" t="s">
        <v>5</v>
      </c>
      <c r="D2371" s="11" t="s">
        <v>2827</v>
      </c>
    </row>
    <row r="2372" spans="1:4" ht="30">
      <c r="A2372" s="5" t="str">
        <f>HYPERLINK("https://www.oit.va.gov/Services/TRM/ToolPage.aspx?tid=15817^","Django Framework")</f>
        <v>Django Framework</v>
      </c>
      <c r="B2372" s="4" t="s">
        <v>2826</v>
      </c>
      <c r="C2372" s="8" t="s">
        <v>5</v>
      </c>
      <c r="D2372" s="11" t="s">
        <v>4029</v>
      </c>
    </row>
    <row r="2373" spans="1:4" ht="30">
      <c r="A2373" s="5" t="str">
        <f>HYPERLINK("https://www.oit.va.gov/Services/TRM/ToolPage.aspx?tid=13940^","DjVuLibre")</f>
        <v>DjVuLibre</v>
      </c>
      <c r="B2373" s="4" t="s">
        <v>7779</v>
      </c>
      <c r="C2373" s="8" t="s">
        <v>5</v>
      </c>
      <c r="D2373" s="11" t="s">
        <v>6486</v>
      </c>
    </row>
    <row r="2374" spans="1:4" ht="30">
      <c r="A2374" s="5" t="str">
        <f>HYPERLINK("https://www.oit.va.gov/Services/TRM/ToolPage.aspx?tid=13430^","dllPro")</f>
        <v>dllPro</v>
      </c>
      <c r="B2374" s="4" t="s">
        <v>7780</v>
      </c>
      <c r="C2374" s="8" t="s">
        <v>5</v>
      </c>
      <c r="D2374" s="11" t="s">
        <v>7407</v>
      </c>
    </row>
    <row r="2375" spans="1:4" ht="30">
      <c r="A2375" s="5" t="str">
        <f>HYPERLINK("https://www.oit.va.gov/Services/TRM/ToolPage.aspx?tid=7697^","Twitterbootstrap Model-View-Controller (MVC)")</f>
        <v>Twitterbootstrap Model-View-Controller (MVC)</v>
      </c>
      <c r="B2375" s="4" t="s">
        <v>8836</v>
      </c>
      <c r="C2375" s="8" t="s">
        <v>5</v>
      </c>
      <c r="D2375" s="11" t="s">
        <v>6985</v>
      </c>
    </row>
    <row r="2376" spans="1:4" ht="30">
      <c r="A2376" s="5" t="str">
        <f>HYPERLINK("https://www.oit.va.gov/Services/TRM/ToolPage.aspx?tid=7535^","Lasergene Molecular Biology")</f>
        <v>Lasergene Molecular Biology</v>
      </c>
      <c r="B2376" s="4" t="s">
        <v>3358</v>
      </c>
      <c r="C2376" s="8" t="s">
        <v>5</v>
      </c>
      <c r="D2376" s="11" t="s">
        <v>1095</v>
      </c>
    </row>
    <row r="2377" spans="1:4" ht="30">
      <c r="A2377" s="5" t="str">
        <f>HYPERLINK("https://www.oit.va.gov/Services/TRM/ToolPage.aspx?tid=8573^","Evoq-Content")</f>
        <v>Evoq-Content</v>
      </c>
      <c r="B2377" s="4" t="s">
        <v>3284</v>
      </c>
      <c r="C2377" s="8" t="s">
        <v>5</v>
      </c>
      <c r="D2377" s="11" t="s">
        <v>3285</v>
      </c>
    </row>
    <row r="2378" spans="1:4" ht="30">
      <c r="A2378" s="5" t="str">
        <f>HYPERLINK("https://www.oit.va.gov/Services/TRM/ToolPage.aspx?tid=13887^","Docassemble")</f>
        <v>Docassemble</v>
      </c>
      <c r="B2378" s="4" t="s">
        <v>6530</v>
      </c>
      <c r="C2378" s="8" t="s">
        <v>5</v>
      </c>
      <c r="D2378" s="11" t="s">
        <v>3322</v>
      </c>
    </row>
    <row r="2379" spans="1:4" ht="30">
      <c r="A2379" s="5" t="str">
        <f>HYPERLINK("https://www.oit.va.gov/Services/TRM/ToolPage.aspx?tid=16737^","Docker Desktop Pro / Team / Business")</f>
        <v>Docker Desktop Pro / Team / Business</v>
      </c>
      <c r="B2379" s="4" t="s">
        <v>200</v>
      </c>
      <c r="C2379" s="8" t="s">
        <v>5</v>
      </c>
      <c r="D2379" s="11" t="s">
        <v>201</v>
      </c>
    </row>
    <row r="2380" spans="1:4" ht="30">
      <c r="A2380" s="5" t="str">
        <f>HYPERLINK("https://www.oit.va.gov/Services/TRM/ToolPage.aspx?tid=8003^","Docker Engine (Community)")</f>
        <v>Docker Engine (Community)</v>
      </c>
      <c r="B2380" s="4" t="s">
        <v>200</v>
      </c>
      <c r="C2380" s="8" t="s">
        <v>5</v>
      </c>
      <c r="D2380" s="11" t="s">
        <v>295</v>
      </c>
    </row>
    <row r="2381" spans="1:4" ht="30">
      <c r="A2381" s="5" t="str">
        <f>HYPERLINK("https://www.oit.va.gov/Services/TRM/ToolPage.aspx?tid=14848^","Docker Desktop (Personal)")</f>
        <v>Docker Desktop (Personal)</v>
      </c>
      <c r="B2381" s="4" t="s">
        <v>200</v>
      </c>
      <c r="C2381" s="8" t="s">
        <v>5</v>
      </c>
      <c r="D2381" s="11" t="s">
        <v>508</v>
      </c>
    </row>
    <row r="2382" spans="1:4" ht="30">
      <c r="A2382" s="5" t="str">
        <f>HYPERLINK("https://www.oit.va.gov/Services/TRM/ToolPage.aspx?tid=14817^","Docker Machine")</f>
        <v>Docker Machine</v>
      </c>
      <c r="B2382" s="4" t="s">
        <v>200</v>
      </c>
      <c r="C2382" s="8" t="s">
        <v>5</v>
      </c>
      <c r="D2382" s="11" t="s">
        <v>509</v>
      </c>
    </row>
    <row r="2383" spans="1:4" ht="30">
      <c r="A2383" s="5" t="str">
        <f>HYPERLINK("https://www.oit.va.gov/Services/TRM/ToolPage.aspx?tid=10527^","Docker Datacenter (DDC)")</f>
        <v>Docker Datacenter (DDC)</v>
      </c>
      <c r="B2383" s="4" t="s">
        <v>200</v>
      </c>
      <c r="C2383" s="8" t="s">
        <v>5</v>
      </c>
      <c r="D2383" s="11" t="s">
        <v>1157</v>
      </c>
    </row>
    <row r="2384" spans="1:4" ht="30">
      <c r="A2384" s="5" t="str">
        <f>HYPERLINK("https://www.oit.va.gov/Services/TRM/ToolPage.aspx?tid=14951^","Docker Command Line Interface (CLI) (Community)")</f>
        <v>Docker Command Line Interface (CLI) (Community)</v>
      </c>
      <c r="B2384" s="4" t="s">
        <v>200</v>
      </c>
      <c r="C2384" s="8" t="s">
        <v>5</v>
      </c>
      <c r="D2384" s="11" t="s">
        <v>2241</v>
      </c>
    </row>
    <row r="2385" spans="1:4" ht="30">
      <c r="A2385" s="5" t="str">
        <f>HYPERLINK("https://www.oit.va.gov/Services/TRM/ToolPage.aspx?tid=12937^","Docker Toolbox")</f>
        <v>Docker Toolbox</v>
      </c>
      <c r="B2385" s="4" t="s">
        <v>200</v>
      </c>
      <c r="C2385" s="8" t="s">
        <v>5</v>
      </c>
      <c r="D2385" s="11" t="s">
        <v>2242</v>
      </c>
    </row>
    <row r="2386" spans="1:4" ht="30">
      <c r="A2386" s="5" t="str">
        <f>HYPERLINK("https://www.oit.va.gov/Services/TRM/ToolPage.aspx?tid=14620^","Kitematic")</f>
        <v>Kitematic</v>
      </c>
      <c r="B2386" s="4" t="s">
        <v>200</v>
      </c>
      <c r="C2386" s="8" t="s">
        <v>5</v>
      </c>
      <c r="D2386" s="11" t="s">
        <v>2270</v>
      </c>
    </row>
    <row r="2387" spans="1:4" ht="30">
      <c r="A2387" s="5" t="str">
        <f>HYPERLINK("https://www.oit.va.gov/Services/TRM/ToolPage.aspx?tid=15674^","Docmosis-Java")</f>
        <v>Docmosis-Java</v>
      </c>
      <c r="B2387" s="4" t="s">
        <v>4031</v>
      </c>
      <c r="C2387" s="8" t="s">
        <v>5</v>
      </c>
      <c r="D2387" s="11" t="s">
        <v>4032</v>
      </c>
    </row>
    <row r="2388" spans="1:4" ht="30">
      <c r="A2388" s="5" t="str">
        <f>HYPERLINK("https://www.oit.va.gov/Services/TRM/ToolPage.aspx?tid=14649^","ExtractData")</f>
        <v>ExtractData</v>
      </c>
      <c r="B2388" s="4" t="s">
        <v>7904</v>
      </c>
      <c r="C2388" s="8" t="s">
        <v>5</v>
      </c>
      <c r="D2388" s="11" t="s">
        <v>7764</v>
      </c>
    </row>
    <row r="2389" spans="1:4" ht="30">
      <c r="A2389" s="5" t="str">
        <f>HYPERLINK("https://www.oit.va.gov/Services/TRM/ToolPage.aspx?tid=9505^","Document Storage Systems (DSS) VistA Service Oriented Architecture (SOA) Suite")</f>
        <v>Document Storage Systems (DSS) VistA Service Oriented Architecture (SOA) Suite</v>
      </c>
      <c r="B2389" s="4" t="s">
        <v>486</v>
      </c>
      <c r="C2389" s="8" t="s">
        <v>5</v>
      </c>
      <c r="D2389" s="11" t="s">
        <v>487</v>
      </c>
    </row>
    <row r="2390" spans="1:4" ht="30">
      <c r="A2390" s="5" t="str">
        <f>HYPERLINK("https://www.oit.va.gov/Services/TRM/ToolPage.aspx?tid=8317^","Document Storage Systems (DSS) LiveData PeriOp Manager")</f>
        <v>Document Storage Systems (DSS) LiveData PeriOp Manager</v>
      </c>
      <c r="B2390" s="4" t="s">
        <v>486</v>
      </c>
      <c r="C2390" s="8" t="s">
        <v>5</v>
      </c>
      <c r="D2390" s="11" t="s">
        <v>653</v>
      </c>
    </row>
    <row r="2391" spans="1:4" ht="30">
      <c r="A2391" s="5" t="str">
        <f>HYPERLINK("https://www.oit.va.gov/Services/TRM/ToolPage.aspx?tid=16187^","Order Tracking Management (OTM) - Radiology Module")</f>
        <v>Order Tracking Management (OTM) - Radiology Module</v>
      </c>
      <c r="B2391" s="4" t="s">
        <v>486</v>
      </c>
      <c r="C2391" s="8" t="s">
        <v>5</v>
      </c>
      <c r="D2391" s="11" t="s">
        <v>1821</v>
      </c>
    </row>
    <row r="2392" spans="1:4" ht="30">
      <c r="A2392" s="5" t="str">
        <f>HYPERLINK("https://www.oit.va.gov/Services/TRM/ToolPage.aspx?tid=7725^","Document Storage System (DSS) Above PAR (APAR)")</f>
        <v>Document Storage System (DSS) Above PAR (APAR)</v>
      </c>
      <c r="B2392" s="4" t="s">
        <v>486</v>
      </c>
      <c r="C2392" s="8" t="s">
        <v>5</v>
      </c>
      <c r="D2392" s="11" t="s">
        <v>2366</v>
      </c>
    </row>
    <row r="2393" spans="1:4" ht="30">
      <c r="A2393" s="5" t="str">
        <f>HYPERLINK("https://www.oit.va.gov/Services/TRM/ToolPage.aspx?tid=15262^","Document Storage Systems (DSS) Diasyst")</f>
        <v>Document Storage Systems (DSS) Diasyst</v>
      </c>
      <c r="B2393" s="4" t="s">
        <v>486</v>
      </c>
      <c r="C2393" s="8" t="s">
        <v>5</v>
      </c>
      <c r="D2393" s="11" t="s">
        <v>2514</v>
      </c>
    </row>
    <row r="2394" spans="1:4" ht="30">
      <c r="A2394" s="5" t="str">
        <f>HYPERLINK("https://www.oit.va.gov/Services/TRM/ToolPage.aspx?tid=10312^","Document Storage Systems (DSS) Enterprise Reporting")</f>
        <v>Document Storage Systems (DSS) Enterprise Reporting</v>
      </c>
      <c r="B2394" s="4" t="s">
        <v>486</v>
      </c>
      <c r="C2394" s="8" t="s">
        <v>5</v>
      </c>
      <c r="D2394" s="11" t="s">
        <v>1136</v>
      </c>
    </row>
    <row r="2395" spans="1:4" ht="30">
      <c r="A2395" s="5" t="str">
        <f>HYPERLINK("https://www.oit.va.gov/Services/TRM/ToolPage.aspx?tid=12996^","Document Storage Systems (DSS) Face2Face Manager")</f>
        <v>Document Storage Systems (DSS) Face2Face Manager</v>
      </c>
      <c r="B2395" s="4" t="s">
        <v>486</v>
      </c>
      <c r="C2395" s="8" t="s">
        <v>5</v>
      </c>
      <c r="D2395" s="11" t="s">
        <v>2515</v>
      </c>
    </row>
    <row r="2396" spans="1:4" ht="30">
      <c r="A2396" s="5" t="str">
        <f>HYPERLINK("https://www.oit.va.gov/Services/TRM/ToolPage.aspx?tid=9707^","Document Storage Systems (DSS) Iconic Data Patient Case Manager (PCM) High Reliability Organization (HRO) Platform")</f>
        <v>Document Storage Systems (DSS) Iconic Data Patient Case Manager (PCM) High Reliability Organization (HRO) Platform</v>
      </c>
      <c r="B2396" s="4" t="s">
        <v>486</v>
      </c>
      <c r="C2396" s="8" t="s">
        <v>5</v>
      </c>
      <c r="D2396" s="11" t="s">
        <v>2516</v>
      </c>
    </row>
    <row r="2397" spans="1:4" ht="30">
      <c r="A2397" s="5" t="str">
        <f>HYPERLINK("https://www.oit.va.gov/Services/TRM/ToolPage.aspx?tid=9450^","Document Storage Systems (DSS) Integration Framework")</f>
        <v>Document Storage Systems (DSS) Integration Framework</v>
      </c>
      <c r="B2397" s="4" t="s">
        <v>486</v>
      </c>
      <c r="C2397" s="8" t="s">
        <v>5</v>
      </c>
      <c r="D2397" s="11" t="s">
        <v>393</v>
      </c>
    </row>
    <row r="2398" spans="1:4" ht="30">
      <c r="A2398" s="5" t="str">
        <f>HYPERLINK("https://www.oit.va.gov/Services/TRM/ToolPage.aspx?tid=8212^","Document Storage Systems (DSS) Mental Health Suite (MHS)")</f>
        <v>Document Storage Systems (DSS) Mental Health Suite (MHS)</v>
      </c>
      <c r="B2398" s="4" t="s">
        <v>486</v>
      </c>
      <c r="C2398" s="8" t="s">
        <v>5</v>
      </c>
      <c r="D2398" s="11" t="s">
        <v>2517</v>
      </c>
    </row>
    <row r="2399" spans="1:4" ht="45">
      <c r="A2399" s="5" t="str">
        <f>HYPERLINK("https://www.oit.va.gov/Services/TRM/ToolPage.aspx?tid=7544^","Document Storage Systems (DSS) Veterans Information Systems and Technology Architecture (VistA) Chemotherapy Manager (VCM)")</f>
        <v>Document Storage Systems (DSS) Veterans Information Systems and Technology Architecture (VistA) Chemotherapy Manager (VCM)</v>
      </c>
      <c r="B2399" s="4" t="s">
        <v>486</v>
      </c>
      <c r="C2399" s="8" t="s">
        <v>5</v>
      </c>
      <c r="D2399" s="11" t="s">
        <v>2518</v>
      </c>
    </row>
    <row r="2400" spans="1:4" ht="30">
      <c r="A2400" s="5" t="str">
        <f>HYPERLINK("https://www.oit.va.gov/Services/TRM/ToolPage.aspx?tid=15470^","Document Storage Systems, Inc (DSS) RxTracker")</f>
        <v>Document Storage Systems, Inc (DSS) RxTracker</v>
      </c>
      <c r="B2400" s="4" t="s">
        <v>486</v>
      </c>
      <c r="C2400" s="8" t="s">
        <v>5</v>
      </c>
      <c r="D2400" s="11" t="s">
        <v>2519</v>
      </c>
    </row>
    <row r="2401" spans="1:4" ht="30">
      <c r="A2401" s="5" t="str">
        <f>HYPERLINK("https://www.oit.va.gov/Services/TRM/ToolPage.aspx?tid=8603^","DSS Dental Record Manager (DRM) Plus")</f>
        <v>DSS Dental Record Manager (DRM) Plus</v>
      </c>
      <c r="B2401" s="4" t="s">
        <v>486</v>
      </c>
      <c r="C2401" s="8" t="s">
        <v>5</v>
      </c>
      <c r="D2401" s="11" t="s">
        <v>2523</v>
      </c>
    </row>
    <row r="2402" spans="1:4" ht="30">
      <c r="A2402" s="5" t="str">
        <f>HYPERLINK("https://www.oit.va.gov/Services/TRM/ToolPage.aspx?tid=8970^","DSS Enterprise Manager")</f>
        <v>DSS Enterprise Manager</v>
      </c>
      <c r="B2402" s="4" t="s">
        <v>486</v>
      </c>
      <c r="C2402" s="8" t="s">
        <v>5</v>
      </c>
      <c r="D2402" s="11" t="s">
        <v>2524</v>
      </c>
    </row>
    <row r="2403" spans="1:4" ht="30">
      <c r="A2403" s="5" t="str">
        <f>HYPERLINK("https://www.oit.va.gov/Services/TRM/ToolPage.aspx?tid=8604^","DSS Fee Basis Claims Systems (FBCS)")</f>
        <v>DSS Fee Basis Claims Systems (FBCS)</v>
      </c>
      <c r="B2403" s="4" t="s">
        <v>486</v>
      </c>
      <c r="C2403" s="8" t="s">
        <v>5</v>
      </c>
      <c r="D2403" s="11" t="s">
        <v>2525</v>
      </c>
    </row>
    <row r="2404" spans="1:4" ht="30">
      <c r="A2404" s="5" t="str">
        <f>HYPERLINK("https://www.oit.va.gov/Services/TRM/ToolPage.aspx?tid=8302^","TeleCare Record Manager (TRM) Plus")</f>
        <v>TeleCare Record Manager (TRM) Plus</v>
      </c>
      <c r="B2404" s="4" t="s">
        <v>486</v>
      </c>
      <c r="C2404" s="8" t="s">
        <v>5</v>
      </c>
      <c r="D2404" s="11" t="s">
        <v>3018</v>
      </c>
    </row>
    <row r="2405" spans="1:4" ht="30">
      <c r="A2405" s="5" t="str">
        <f>HYPERLINK("https://www.oit.va.gov/Services/TRM/ToolPage.aspx?tid=15783^","Document Storage System (DSS) Infusion Therapy Manager (ITM)")</f>
        <v>Document Storage System (DSS) Infusion Therapy Manager (ITM)</v>
      </c>
      <c r="B2405" s="4" t="s">
        <v>486</v>
      </c>
      <c r="C2405" s="8" t="s">
        <v>5</v>
      </c>
      <c r="D2405" s="11" t="s">
        <v>248</v>
      </c>
    </row>
    <row r="2406" spans="1:4" ht="30">
      <c r="A2406" s="5" t="str">
        <f>HYPERLINK("https://www.oit.va.gov/Services/TRM/ToolPage.aspx?tid=10967^","Document Storage Systems (DSS) Data Miner")</f>
        <v>Document Storage Systems (DSS) Data Miner</v>
      </c>
      <c r="B2406" s="4" t="s">
        <v>486</v>
      </c>
      <c r="C2406" s="8" t="s">
        <v>5</v>
      </c>
      <c r="D2406" s="11" t="s">
        <v>3958</v>
      </c>
    </row>
    <row r="2407" spans="1:4" ht="30">
      <c r="A2407" s="5" t="str">
        <f>HYPERLINK("https://www.oit.va.gov/Services/TRM/ToolPage.aspx?tid=7722^","Document Storage Systems (DSS) DocManager")</f>
        <v>Document Storage Systems (DSS) DocManager</v>
      </c>
      <c r="B2407" s="4" t="s">
        <v>486</v>
      </c>
      <c r="C2407" s="8" t="s">
        <v>5</v>
      </c>
      <c r="D2407" s="11" t="s">
        <v>4033</v>
      </c>
    </row>
    <row r="2408" spans="1:4" ht="30">
      <c r="A2408" s="5" t="str">
        <f>HYPERLINK("https://www.oit.va.gov/Services/TRM/ToolPage.aspx?tid=8971^","Document Storage Systems (DSS) Insurance Capture Buffer (ICB)")</f>
        <v>Document Storage Systems (DSS) Insurance Capture Buffer (ICB)</v>
      </c>
      <c r="B2408" s="4" t="s">
        <v>486</v>
      </c>
      <c r="C2408" s="8" t="s">
        <v>5</v>
      </c>
      <c r="D2408" s="11" t="s">
        <v>4034</v>
      </c>
    </row>
    <row r="2409" spans="1:4" ht="30">
      <c r="A2409" s="5" t="str">
        <f>HYPERLINK("https://www.oit.va.gov/Services/TRM/ToolPage.aspx?tid=13874^","Document Storage Systems (DSS) Unique Device Identification (UDI) Tracker Integration Framework")</f>
        <v>Document Storage Systems (DSS) Unique Device Identification (UDI) Tracker Integration Framework</v>
      </c>
      <c r="B2409" s="4" t="s">
        <v>486</v>
      </c>
      <c r="C2409" s="8" t="s">
        <v>5</v>
      </c>
      <c r="D2409" s="11" t="s">
        <v>2524</v>
      </c>
    </row>
    <row r="2410" spans="1:4" ht="30">
      <c r="A2410" s="5" t="str">
        <f>HYPERLINK("https://www.oit.va.gov/Services/TRM/ToolPage.aspx?tid=15205^","DSS Order Tracking Manager (OTM) Oncology")</f>
        <v>DSS Order Tracking Manager (OTM) Oncology</v>
      </c>
      <c r="B2410" s="4" t="s">
        <v>486</v>
      </c>
      <c r="C2410" s="8" t="s">
        <v>5</v>
      </c>
      <c r="D2410" s="11" t="s">
        <v>4045</v>
      </c>
    </row>
    <row r="2411" spans="1:4" ht="30">
      <c r="A2411" s="5" t="str">
        <f>HYPERLINK("https://www.oit.va.gov/Services/TRM/ToolPage.aspx?tid=5703^","Document Storage System (DSS) Encoder Product Suite (EPS)")</f>
        <v>Document Storage System (DSS) Encoder Product Suite (EPS)</v>
      </c>
      <c r="B2411" s="4" t="s">
        <v>486</v>
      </c>
      <c r="C2411" s="8" t="s">
        <v>5</v>
      </c>
      <c r="D2411" s="11" t="s">
        <v>5151</v>
      </c>
    </row>
    <row r="2412" spans="1:4" ht="30">
      <c r="A2412" s="5" t="str">
        <f>HYPERLINK("https://www.oit.va.gov/Services/TRM/ToolPage.aspx?tid=14079^","Document Storage System (DSS) Consult Tracking Manager Plus (CTM+)")</f>
        <v>Document Storage System (DSS) Consult Tracking Manager Plus (CTM+)</v>
      </c>
      <c r="B2412" s="4" t="s">
        <v>486</v>
      </c>
      <c r="C2412" s="8" t="s">
        <v>5</v>
      </c>
      <c r="D2412" s="11" t="s">
        <v>2885</v>
      </c>
    </row>
    <row r="2413" spans="1:4" ht="30">
      <c r="A2413" s="5" t="str">
        <f>HYPERLINK("https://www.oit.va.gov/Services/TRM/ToolPage.aspx?tid=9147^","Document Storage Systems (DSS) Caribou Community Living Care (CLC) Suite")</f>
        <v>Document Storage Systems (DSS) Caribou Community Living Care (CLC) Suite</v>
      </c>
      <c r="B2413" s="4" t="s">
        <v>486</v>
      </c>
      <c r="C2413" s="8" t="s">
        <v>5</v>
      </c>
      <c r="D2413" s="11" t="s">
        <v>5773</v>
      </c>
    </row>
    <row r="2414" spans="1:4" ht="30">
      <c r="A2414" s="5" t="str">
        <f>HYPERLINK("https://www.oit.va.gov/Services/TRM/ToolPage.aspx?tid=8602^","Document Storage Systems (DSS) Clinical Note Templates (CNT) Plus")</f>
        <v>Document Storage Systems (DSS) Clinical Note Templates (CNT) Plus</v>
      </c>
      <c r="B2414" s="4" t="s">
        <v>486</v>
      </c>
      <c r="C2414" s="8" t="s">
        <v>5</v>
      </c>
      <c r="D2414" s="11" t="s">
        <v>878</v>
      </c>
    </row>
    <row r="2415" spans="1:4" ht="30">
      <c r="A2415" s="5" t="str">
        <f>HYPERLINK("https://www.oit.va.gov/Services/TRM/ToolPage.aspx?tid=9591^","Document Storage Systems (DSS) CyberREN")</f>
        <v>Document Storage Systems (DSS) CyberREN</v>
      </c>
      <c r="B2415" s="4" t="s">
        <v>486</v>
      </c>
      <c r="C2415" s="8" t="s">
        <v>5</v>
      </c>
      <c r="D2415" s="11" t="s">
        <v>1284</v>
      </c>
    </row>
    <row r="2416" spans="1:4" ht="30">
      <c r="A2416" s="5" t="str">
        <f>HYPERLINK("https://www.oit.va.gov/Services/TRM/ToolPage.aspx?tid=10968^","Document Storage Systems (DSS) ForSite2020")</f>
        <v>Document Storage Systems (DSS) ForSite2020</v>
      </c>
      <c r="B2416" s="4" t="s">
        <v>486</v>
      </c>
      <c r="C2416" s="8" t="s">
        <v>5</v>
      </c>
      <c r="D2416" s="11" t="s">
        <v>5774</v>
      </c>
    </row>
    <row r="2417" spans="1:4" ht="30">
      <c r="A2417" s="5" t="str">
        <f>HYPERLINK("https://www.oit.va.gov/Services/TRM/ToolPage.aspx?tid=8609^","DSS Advanced Prosthetics Acquisition Tool (APAT)")</f>
        <v>DSS Advanced Prosthetics Acquisition Tool (APAT)</v>
      </c>
      <c r="B2417" s="4" t="s">
        <v>486</v>
      </c>
      <c r="C2417" s="8" t="s">
        <v>5</v>
      </c>
      <c r="D2417" s="11" t="s">
        <v>5778</v>
      </c>
    </row>
    <row r="2418" spans="1:4" ht="30">
      <c r="A2418" s="5" t="str">
        <f>HYPERLINK("https://www.oit.va.gov/Services/TRM/ToolPage.aspx?tid=9778^","DSS Consult Tracking Manager (CTM)")</f>
        <v>DSS Consult Tracking Manager (CTM)</v>
      </c>
      <c r="B2418" s="4" t="s">
        <v>486</v>
      </c>
      <c r="C2418" s="8" t="s">
        <v>5</v>
      </c>
      <c r="D2418" s="11" t="s">
        <v>5779</v>
      </c>
    </row>
    <row r="2419" spans="1:4" ht="30">
      <c r="A2419" s="5" t="str">
        <f>HYPERLINK("https://www.oit.va.gov/Services/TRM/ToolPage.aspx?tid=16052^","DSS Order Tracking Manager (OTM) Dermatology")</f>
        <v>DSS Order Tracking Manager (OTM) Dermatology</v>
      </c>
      <c r="B2419" s="4" t="s">
        <v>486</v>
      </c>
      <c r="C2419" s="8" t="s">
        <v>5</v>
      </c>
      <c r="D2419" s="11" t="s">
        <v>4045</v>
      </c>
    </row>
    <row r="2420" spans="1:4" ht="30">
      <c r="A2420" s="5" t="str">
        <f>HYPERLINK("https://www.oit.va.gov/Services/TRM/ToolPage.aspx?tid=13735^","DSS Order Tracking Manager (OTM) Pharmacy")</f>
        <v>DSS Order Tracking Manager (OTM) Pharmacy</v>
      </c>
      <c r="B2420" s="4" t="s">
        <v>486</v>
      </c>
      <c r="C2420" s="8" t="s">
        <v>5</v>
      </c>
      <c r="D2420" s="11" t="s">
        <v>5780</v>
      </c>
    </row>
    <row r="2421" spans="1:4" ht="30">
      <c r="A2421" s="5" t="str">
        <f>HYPERLINK("https://www.oit.va.gov/Services/TRM/ToolPage.aspx?tid=15187^","DSS Order Tracking Manager (OTM) Radiology")</f>
        <v>DSS Order Tracking Manager (OTM) Radiology</v>
      </c>
      <c r="B2421" s="4" t="s">
        <v>486</v>
      </c>
      <c r="C2421" s="8" t="s">
        <v>5</v>
      </c>
      <c r="D2421" s="11" t="s">
        <v>4045</v>
      </c>
    </row>
    <row r="2422" spans="1:4" ht="30">
      <c r="A2422" s="5" t="str">
        <f>HYPERLINK("https://www.oit.va.gov/Services/TRM/ToolPage.aspx?tid=13000^","DSS RadWise")</f>
        <v>DSS RadWise</v>
      </c>
      <c r="B2422" s="4" t="s">
        <v>486</v>
      </c>
      <c r="C2422" s="8" t="s">
        <v>5</v>
      </c>
      <c r="D2422" s="11" t="s">
        <v>1221</v>
      </c>
    </row>
    <row r="2423" spans="1:4" ht="30">
      <c r="A2423" s="5" t="str">
        <f>HYPERLINK("https://www.oit.va.gov/Services/TRM/ToolPage.aspx?tid=14854^","DSS VistA Chemotherapy Manager (VCM) Order Status Fix It Tool")</f>
        <v>DSS VistA Chemotherapy Manager (VCM) Order Status Fix It Tool</v>
      </c>
      <c r="B2423" s="4" t="s">
        <v>486</v>
      </c>
      <c r="C2423" s="8" t="s">
        <v>5</v>
      </c>
      <c r="D2423" s="11" t="s">
        <v>5781</v>
      </c>
    </row>
    <row r="2424" spans="1:4" ht="30">
      <c r="A2424" s="5" t="str">
        <f>HYPERLINK("https://www.oit.va.gov/Services/TRM/ToolPage.aspx?tid=16049^","Patient Appointment Check-in Expansion (PACE)")</f>
        <v>Patient Appointment Check-in Expansion (PACE)</v>
      </c>
      <c r="B2424" s="4" t="s">
        <v>486</v>
      </c>
      <c r="C2424" s="8" t="s">
        <v>5</v>
      </c>
      <c r="D2424" s="11" t="s">
        <v>4709</v>
      </c>
    </row>
    <row r="2425" spans="1:4" ht="30">
      <c r="A2425" s="5" t="str">
        <f>HYPERLINK("https://www.oit.va.gov/Services/TRM/ToolPage.aspx?tid=14853^","Patient Flow Suite (PFS)")</f>
        <v>Patient Flow Suite (PFS)</v>
      </c>
      <c r="B2425" s="4" t="s">
        <v>486</v>
      </c>
      <c r="C2425" s="8" t="s">
        <v>5</v>
      </c>
      <c r="D2425" s="11" t="s">
        <v>4977</v>
      </c>
    </row>
    <row r="2426" spans="1:4" ht="30">
      <c r="A2426" s="5" t="str">
        <f>HYPERLINK("https://www.oit.va.gov/Services/TRM/ToolPage.aspx?tid=16188^","PREFcards")</f>
        <v>PREFcards</v>
      </c>
      <c r="B2426" s="4" t="s">
        <v>486</v>
      </c>
      <c r="C2426" s="8" t="s">
        <v>5</v>
      </c>
      <c r="D2426" s="11" t="s">
        <v>4453</v>
      </c>
    </row>
    <row r="2427" spans="1:4" ht="30">
      <c r="A2427" s="5" t="str">
        <f>HYPERLINK("https://www.oit.va.gov/Services/TRM/ToolPage.aspx?tid=11265^","Document Storage System (DSS) VitalsLink")</f>
        <v>Document Storage System (DSS) VitalsLink</v>
      </c>
      <c r="B2427" s="4" t="s">
        <v>486</v>
      </c>
      <c r="C2427" s="8" t="s">
        <v>5</v>
      </c>
      <c r="D2427" s="11" t="s">
        <v>6531</v>
      </c>
    </row>
    <row r="2428" spans="1:4" ht="30">
      <c r="A2428" s="5" t="str">
        <f>HYPERLINK("https://www.oit.va.gov/Services/TRM/ToolPage.aspx?tid=8969^","Document Storage Systems (DSS) Clinical Information System (CIS)-DataBridge")</f>
        <v>Document Storage Systems (DSS) Clinical Information System (CIS)-DataBridge</v>
      </c>
      <c r="B2428" s="4" t="s">
        <v>486</v>
      </c>
      <c r="C2428" s="8" t="s">
        <v>5</v>
      </c>
      <c r="D2428" s="11" t="s">
        <v>7784</v>
      </c>
    </row>
    <row r="2429" spans="1:4" ht="30">
      <c r="A2429" s="5" t="str">
        <f>HYPERLINK("https://www.oit.va.gov/Services/TRM/ToolPage.aspx?tid=10654^","Document Storage Systems (DSS) Comprehensive Care Coordination (C3)")</f>
        <v>Document Storage Systems (DSS) Comprehensive Care Coordination (C3)</v>
      </c>
      <c r="B2429" s="4" t="s">
        <v>486</v>
      </c>
      <c r="C2429" s="8" t="s">
        <v>5</v>
      </c>
      <c r="D2429" s="11" t="s">
        <v>4045</v>
      </c>
    </row>
    <row r="2430" spans="1:4" ht="30">
      <c r="A2430" s="5" t="str">
        <f>HYPERLINK("https://www.oit.va.gov/Services/TRM/ToolPage.aspx?tid=12929^","Document Storage Systems (DSS) Prescription Drug Monitoring Program (PDMP)")</f>
        <v>Document Storage Systems (DSS) Prescription Drug Monitoring Program (PDMP)</v>
      </c>
      <c r="B2430" s="4" t="s">
        <v>486</v>
      </c>
      <c r="C2430" s="8" t="s">
        <v>5</v>
      </c>
      <c r="D2430" s="11" t="s">
        <v>3912</v>
      </c>
    </row>
    <row r="2431" spans="1:4" ht="30">
      <c r="A2431" s="5" t="str">
        <f>HYPERLINK("https://www.oit.va.gov/Services/TRM/ToolPage.aspx?tid=8972^","Document Storage Systems (DSS) Release of Information (ROI)")</f>
        <v>Document Storage Systems (DSS) Release of Information (ROI)</v>
      </c>
      <c r="B2431" s="4" t="s">
        <v>486</v>
      </c>
      <c r="C2431" s="8" t="s">
        <v>5</v>
      </c>
      <c r="D2431" s="11" t="s">
        <v>1208</v>
      </c>
    </row>
    <row r="2432" spans="1:4" ht="30">
      <c r="A2432" s="5" t="str">
        <f>HYPERLINK("https://www.oit.va.gov/Services/TRM/ToolPage.aspx?tid=7563^","Document Storage Systems (DSS) Rx-Framework")</f>
        <v>Document Storage Systems (DSS) Rx-Framework</v>
      </c>
      <c r="B2432" s="4" t="s">
        <v>486</v>
      </c>
      <c r="C2432" s="8" t="s">
        <v>5</v>
      </c>
      <c r="D2432" s="11" t="s">
        <v>2834</v>
      </c>
    </row>
    <row r="2433" spans="1:4" ht="30">
      <c r="A2433" s="5" t="str">
        <f>HYPERLINK("https://www.oit.va.gov/Services/TRM/ToolPage.aspx?tid=11656^","DSS Radiation Oncology")</f>
        <v>DSS Radiation Oncology</v>
      </c>
      <c r="B2433" s="4" t="s">
        <v>486</v>
      </c>
      <c r="C2433" s="8" t="s">
        <v>5</v>
      </c>
      <c r="D2433" s="11" t="s">
        <v>7811</v>
      </c>
    </row>
    <row r="2434" spans="1:4" ht="30">
      <c r="A2434" s="5" t="str">
        <f>HYPERLINK("https://www.oit.va.gov/Services/TRM/ToolPage.aspx?tid=6247^","DocuSign Signature Appliance (SA) Client")</f>
        <v>DocuSign Signature Appliance (SA) Client</v>
      </c>
      <c r="B2434" s="4" t="s">
        <v>3260</v>
      </c>
      <c r="C2434" s="8" t="s">
        <v>5</v>
      </c>
      <c r="D2434" s="11" t="s">
        <v>3261</v>
      </c>
    </row>
    <row r="2435" spans="1:4" ht="30">
      <c r="A2435" s="5" t="str">
        <f>HYPERLINK("https://www.oit.va.gov/Services/TRM/ToolPage.aspx?tid=15979^","DocuSign Public Key Infrastructure (PKI)")</f>
        <v>DocuSign Public Key Infrastructure (PKI)</v>
      </c>
      <c r="B2435" s="4" t="s">
        <v>3260</v>
      </c>
      <c r="C2435" s="8" t="s">
        <v>5</v>
      </c>
      <c r="D2435" s="11" t="s">
        <v>4035</v>
      </c>
    </row>
    <row r="2436" spans="1:4" ht="30">
      <c r="A2436" s="5" t="str">
        <f>HYPERLINK("https://www.oit.va.gov/Services/TRM/ToolPage.aspx?tid=15833^","DocuSign Public Key Infrastructure (PKI) Chrome Extension")</f>
        <v>DocuSign Public Key Infrastructure (PKI) Chrome Extension</v>
      </c>
      <c r="B2436" s="4" t="s">
        <v>3260</v>
      </c>
      <c r="C2436" s="8" t="s">
        <v>5</v>
      </c>
      <c r="D2436" s="11" t="s">
        <v>4036</v>
      </c>
    </row>
    <row r="2437" spans="1:4" ht="30">
      <c r="A2437" s="5" t="str">
        <f>HYPERLINK("https://www.oit.va.gov/Services/TRM/ToolPage.aspx?tid=16624^","DocuSign Retrieve")</f>
        <v>DocuSign Retrieve</v>
      </c>
      <c r="B2437" s="4" t="s">
        <v>3260</v>
      </c>
      <c r="C2437" s="8" t="s">
        <v>5</v>
      </c>
      <c r="D2437" s="11" t="s">
        <v>4037</v>
      </c>
    </row>
    <row r="2438" spans="1:4" ht="30">
      <c r="A2438" s="5" t="str">
        <f>HYPERLINK("https://www.oit.va.gov/Services/TRM/ToolPage.aspx?tid=15699^","DocuSign Java Client Software Development Kit (SDK)")</f>
        <v>DocuSign Java Client Software Development Kit (SDK)</v>
      </c>
      <c r="B2438" s="4" t="s">
        <v>3260</v>
      </c>
      <c r="C2438" s="8" t="s">
        <v>5</v>
      </c>
      <c r="D2438" s="11" t="s">
        <v>6532</v>
      </c>
    </row>
    <row r="2439" spans="1:4" ht="30">
      <c r="A2439" s="5" t="str">
        <f>HYPERLINK("https://www.oit.va.gov/Services/TRM/ToolPage.aspx?tid=16467^","Kube No Trouble")</f>
        <v>Kube No Trouble</v>
      </c>
      <c r="B2439" s="4" t="s">
        <v>8158</v>
      </c>
      <c r="C2439" s="8" t="s">
        <v>5</v>
      </c>
      <c r="D2439" s="11" t="s">
        <v>8159</v>
      </c>
    </row>
    <row r="2440" spans="1:4" ht="30">
      <c r="A2440" s="5" t="str">
        <f>HYPERLINK("https://www.oit.va.gov/Services/TRM/ToolPage.aspx?tid=8707^","DokuWiki")</f>
        <v>DokuWiki</v>
      </c>
      <c r="B2440" s="4" t="s">
        <v>7788</v>
      </c>
      <c r="C2440" s="8" t="s">
        <v>5</v>
      </c>
      <c r="D2440" s="11" t="s">
        <v>2186</v>
      </c>
    </row>
    <row r="2441" spans="1:4" ht="30">
      <c r="A2441" s="5" t="str">
        <f>HYPERLINK("https://www.oit.va.gov/Services/TRM/ToolPage.aspx?tid=8022^","Fusion Voice Manager")</f>
        <v>Fusion Voice Manager</v>
      </c>
      <c r="B2441" s="4" t="s">
        <v>4165</v>
      </c>
      <c r="C2441" s="8" t="s">
        <v>5</v>
      </c>
      <c r="D2441" s="11" t="s">
        <v>489</v>
      </c>
    </row>
    <row r="2442" spans="1:4" ht="30">
      <c r="A2442" s="5" t="str">
        <f>HYPERLINK("https://www.oit.va.gov/Services/TRM/ToolPage.aspx?tid=8042^","Fusion Voice Player")</f>
        <v>Fusion Voice Player</v>
      </c>
      <c r="B2442" s="4" t="s">
        <v>4165</v>
      </c>
      <c r="C2442" s="8" t="s">
        <v>5</v>
      </c>
      <c r="D2442" s="11" t="s">
        <v>434</v>
      </c>
    </row>
    <row r="2443" spans="1:4" ht="30">
      <c r="A2443" s="5" t="str">
        <f>HYPERLINK("https://www.oit.va.gov/Services/TRM/ToolPage.aspx?tid=11729^","Dolbey Fusion Suite")</f>
        <v>Dolbey Fusion Suite</v>
      </c>
      <c r="B2443" s="4" t="s">
        <v>4165</v>
      </c>
      <c r="C2443" s="8" t="s">
        <v>5</v>
      </c>
      <c r="D2443" s="11" t="s">
        <v>5152</v>
      </c>
    </row>
    <row r="2444" spans="1:4" ht="30">
      <c r="A2444" s="5" t="str">
        <f>HYPERLINK("https://www.oit.va.gov/Services/TRM/ToolPage.aspx?tid=15110^","Dolphin SuperNova")</f>
        <v>Dolphin SuperNova</v>
      </c>
      <c r="B2444" s="4" t="s">
        <v>966</v>
      </c>
      <c r="C2444" s="8" t="s">
        <v>5</v>
      </c>
      <c r="D2444" s="11" t="s">
        <v>967</v>
      </c>
    </row>
    <row r="2445" spans="1:4" ht="30">
      <c r="A2445" s="5" t="str">
        <f>HYPERLINK("https://www.oit.va.gov/Services/TRM/ToolPage.aspx?tid=7681^","Document Object Model for Java (dom4j)")</f>
        <v>Document Object Model for Java (dom4j)</v>
      </c>
      <c r="B2445" s="4" t="s">
        <v>2512</v>
      </c>
      <c r="C2445" s="8" t="s">
        <v>5</v>
      </c>
      <c r="D2445" s="11" t="s">
        <v>2513</v>
      </c>
    </row>
    <row r="2446" spans="1:4" ht="30">
      <c r="A2446" s="5" t="str">
        <f>HYPERLINK("https://www.oit.va.gov/Services/TRM/ToolPage.aspx?tid=11176^","JavaScript Document Object Model (JSDOM)")</f>
        <v>JavaScript Document Object Model (JSDOM)</v>
      </c>
      <c r="B2446" s="4" t="s">
        <v>5280</v>
      </c>
      <c r="C2446" s="8" t="s">
        <v>5</v>
      </c>
      <c r="D2446" s="11" t="s">
        <v>2268</v>
      </c>
    </row>
    <row r="2447" spans="1:4" ht="30">
      <c r="A2447" s="5" t="str">
        <f>HYPERLINK("https://www.oit.va.gov/Services/TRM/ToolPage.aspx?tid=16592^","Convey")</f>
        <v>Convey</v>
      </c>
      <c r="B2447" s="4" t="s">
        <v>3972</v>
      </c>
      <c r="C2447" s="8" t="s">
        <v>5</v>
      </c>
      <c r="D2447" s="11" t="s">
        <v>3973</v>
      </c>
    </row>
    <row r="2448" spans="1:4" ht="30">
      <c r="A2448" s="5" t="str">
        <f>HYPERLINK("https://www.oit.va.gov/Services/TRM/ToolPage.aspx?tid=16513^","dominKnow Learning Content Management System (LCMS)")</f>
        <v>dominKnow Learning Content Management System (LCMS)</v>
      </c>
      <c r="B2448" s="4" t="s">
        <v>3972</v>
      </c>
      <c r="C2448" s="8" t="s">
        <v>5</v>
      </c>
      <c r="D2448" s="11" t="s">
        <v>3074</v>
      </c>
    </row>
    <row r="2449" spans="1:4" ht="30">
      <c r="A2449" s="5" t="str">
        <f>HYPERLINK("https://www.oit.va.gov/Services/TRM/ToolPage.aspx?tid=16329^","Domo Workbench")</f>
        <v>Domo Workbench</v>
      </c>
      <c r="B2449" s="4" t="s">
        <v>968</v>
      </c>
      <c r="C2449" s="8" t="s">
        <v>5</v>
      </c>
      <c r="D2449" s="11" t="s">
        <v>969</v>
      </c>
    </row>
    <row r="2450" spans="1:4" ht="30">
      <c r="A2450" s="5" t="str">
        <f>HYPERLINK("https://www.oit.va.gov/Services/TRM/ToolPage.aspx?tid=6994^","PopChart")</f>
        <v>PopChart</v>
      </c>
      <c r="B2450" s="4" t="s">
        <v>968</v>
      </c>
      <c r="C2450" s="8" t="s">
        <v>5</v>
      </c>
      <c r="D2450" s="11" t="s">
        <v>1199</v>
      </c>
    </row>
    <row r="2451" spans="1:4" ht="30">
      <c r="A2451" s="5" t="str">
        <f>HYPERLINK("https://www.oit.va.gov/Services/TRM/ToolPage.aspx?tid=14127^","FieldTrip Toolbox")</f>
        <v>FieldTrip Toolbox</v>
      </c>
      <c r="B2451" s="4" t="s">
        <v>6609</v>
      </c>
      <c r="C2451" s="8" t="s">
        <v>5</v>
      </c>
      <c r="D2451" s="11" t="s">
        <v>6610</v>
      </c>
    </row>
    <row r="2452" spans="1:4" ht="30">
      <c r="A2452" s="5" t="str">
        <f>HYPERLINK("https://www.oit.va.gov/Services/TRM/ToolPage.aspx?tid=14614^","E-Plex Standard Software")</f>
        <v>E-Plex Standard Software</v>
      </c>
      <c r="B2452" s="4" t="s">
        <v>4103</v>
      </c>
      <c r="C2452" s="8" t="s">
        <v>5</v>
      </c>
      <c r="D2452" s="11" t="s">
        <v>637</v>
      </c>
    </row>
    <row r="2453" spans="1:4" ht="30">
      <c r="A2453" s="5" t="str">
        <f>HYPERLINK("https://www.oit.va.gov/Services/TRM/ToolPage.aspx?tid=14934^","Wi-Q Access Management System (AMS)")</f>
        <v>Wi-Q Access Management System (AMS)</v>
      </c>
      <c r="B2453" s="4" t="s">
        <v>4103</v>
      </c>
      <c r="C2453" s="8" t="s">
        <v>5</v>
      </c>
      <c r="D2453" s="11" t="s">
        <v>288</v>
      </c>
    </row>
    <row r="2454" spans="1:4" ht="30">
      <c r="A2454" s="5" t="str">
        <f>HYPERLINK("https://www.oit.va.gov/Services/TRM/ToolPage.aspx?tid=9511^","Memcached")</f>
        <v>Memcached</v>
      </c>
      <c r="B2454" s="4" t="s">
        <v>8244</v>
      </c>
      <c r="C2454" s="8" t="s">
        <v>5</v>
      </c>
      <c r="D2454" s="11" t="s">
        <v>8245</v>
      </c>
    </row>
    <row r="2455" spans="1:4" ht="30">
      <c r="A2455" s="5" t="str">
        <f>HYPERLINK("https://www.oit.va.gov/Services/TRM/ToolPage.aspx?tid=7318^","DOSBox")</f>
        <v>DOSBox</v>
      </c>
      <c r="B2455" s="4" t="s">
        <v>7792</v>
      </c>
      <c r="C2455" s="8" t="s">
        <v>5</v>
      </c>
      <c r="D2455" s="11" t="s">
        <v>6482</v>
      </c>
    </row>
    <row r="2456" spans="1:4" ht="30">
      <c r="A2456" s="5" t="str">
        <f>HYPERLINK("https://www.oit.va.gov/Services/TRM/ToolPage.aspx?tid=16030^","SnapGene")</f>
        <v>SnapGene</v>
      </c>
      <c r="B2456" s="4" t="s">
        <v>4809</v>
      </c>
      <c r="C2456" s="8" t="s">
        <v>5</v>
      </c>
      <c r="D2456" s="11" t="s">
        <v>4810</v>
      </c>
    </row>
    <row r="2457" spans="1:4" ht="30">
      <c r="A2457" s="5" t="str">
        <f>HYPERLINK("https://www.oit.va.gov/Services/TRM/ToolPage.aspx?tid=13919^","StyleCop.Analyzers")</f>
        <v>StyleCop.Analyzers</v>
      </c>
      <c r="B2457" s="4" t="s">
        <v>869</v>
      </c>
      <c r="C2457" s="8" t="s">
        <v>5</v>
      </c>
      <c r="D2457" s="11" t="s">
        <v>341</v>
      </c>
    </row>
    <row r="2458" spans="1:4" ht="30">
      <c r="A2458" s="5" t="str">
        <f>HYPERLINK("https://www.oit.va.gov/Services/TRM/ToolPage.aspx?tid=14578^","IronPython")</f>
        <v>IronPython</v>
      </c>
      <c r="B2458" s="4" t="s">
        <v>869</v>
      </c>
      <c r="C2458" s="8" t="s">
        <v>5</v>
      </c>
      <c r="D2458" s="11" t="s">
        <v>1714</v>
      </c>
    </row>
    <row r="2459" spans="1:4" ht="30">
      <c r="A2459" s="5" t="str">
        <f>HYPERLINK("https://www.oit.va.gov/Services/TRM/ToolPage.aspx?tid=9579^","DotNetNuke (DNN)")</f>
        <v>DotNetNuke (DNN)</v>
      </c>
      <c r="B2459" s="4" t="s">
        <v>202</v>
      </c>
      <c r="C2459" s="8" t="s">
        <v>5</v>
      </c>
      <c r="D2459" s="11" t="s">
        <v>203</v>
      </c>
    </row>
    <row r="2460" spans="1:4" ht="30">
      <c r="A2460" s="5" t="str">
        <f>HYPERLINK("https://www.oit.va.gov/Services/TRM/ToolPage.aspx?tid=15389^","Evoq Engage")</f>
        <v>Evoq Engage</v>
      </c>
      <c r="B2460" s="4" t="s">
        <v>202</v>
      </c>
      <c r="C2460" s="8" t="s">
        <v>5</v>
      </c>
      <c r="D2460" s="11" t="s">
        <v>988</v>
      </c>
    </row>
    <row r="2461" spans="1:4" ht="30">
      <c r="A2461" s="5" t="str">
        <f>HYPERLINK("https://www.oit.va.gov/Services/TRM/ToolPage.aspx?tid=7614^","Paint.NET")</f>
        <v>Paint.NET</v>
      </c>
      <c r="B2461" s="4" t="s">
        <v>2836</v>
      </c>
      <c r="C2461" s="8" t="s">
        <v>5</v>
      </c>
      <c r="D2461" s="11" t="s">
        <v>905</v>
      </c>
    </row>
    <row r="2462" spans="1:4" ht="30">
      <c r="A2462" s="5" t="str">
        <f>HYPERLINK("https://www.oit.va.gov/Services/TRM/ToolPage.aspx?tid=15033^","Calibration Feedback System (CFS)")</f>
        <v>Calibration Feedback System (CFS)</v>
      </c>
      <c r="B2462" s="4" t="s">
        <v>7602</v>
      </c>
      <c r="C2462" s="8" t="s">
        <v>5</v>
      </c>
      <c r="D2462" s="11" t="s">
        <v>7603</v>
      </c>
    </row>
    <row r="2463" spans="1:4" ht="30">
      <c r="A2463" s="5" t="str">
        <f>HYPERLINK("https://www.oit.va.gov/Services/TRM/ToolPage.aspx?tid=16739^","ImportExcel PowerShell Module")</f>
        <v>ImportExcel PowerShell Module</v>
      </c>
      <c r="B2463" s="4" t="s">
        <v>4255</v>
      </c>
      <c r="C2463" s="8" t="s">
        <v>5</v>
      </c>
      <c r="D2463" s="11" t="s">
        <v>4256</v>
      </c>
    </row>
    <row r="2464" spans="1:4" ht="30">
      <c r="A2464" s="5" t="str">
        <f>HYPERLINK("https://www.oit.va.gov/Services/TRM/ToolPage.aspx?tid=13114^","DPlot Graphing Software")</f>
        <v>DPlot Graphing Software</v>
      </c>
      <c r="B2464" s="4" t="s">
        <v>5776</v>
      </c>
      <c r="C2464" s="8" t="s">
        <v>5</v>
      </c>
      <c r="D2464" s="11" t="s">
        <v>5777</v>
      </c>
    </row>
    <row r="2465" spans="1:4" ht="30">
      <c r="A2465" s="5" t="str">
        <f>HYPERLINK("https://www.oit.va.gov/Services/TRM/ToolPage.aspx?tid=8178^","T/Windows")</f>
        <v>T/Windows</v>
      </c>
      <c r="B2465" s="4" t="s">
        <v>7208</v>
      </c>
      <c r="C2465" s="8" t="s">
        <v>5</v>
      </c>
      <c r="D2465" s="11" t="s">
        <v>953</v>
      </c>
    </row>
    <row r="2466" spans="1:4" ht="30">
      <c r="A2466" s="5" t="str">
        <f>HYPERLINK("https://www.oit.va.gov/Services/TRM/ToolPage.aspx?tid=8732^","Open Clinical Decision Support (OpenCDS)")</f>
        <v>Open Clinical Decision Support (OpenCDS)</v>
      </c>
      <c r="B2466" s="4" t="s">
        <v>5396</v>
      </c>
      <c r="C2466" s="8" t="s">
        <v>5</v>
      </c>
      <c r="D2466" s="11" t="s">
        <v>5397</v>
      </c>
    </row>
    <row r="2467" spans="1:4" ht="30">
      <c r="A2467" s="5" t="str">
        <f>HYPERLINK("https://www.oit.va.gov/Services/TRM/ToolPage.aspx?tid=8305^","Comprehensive Exploratory Factor Analysis (CEFA)")</f>
        <v>Comprehensive Exploratory Factor Analysis (CEFA)</v>
      </c>
      <c r="B2467" s="4" t="s">
        <v>383</v>
      </c>
      <c r="C2467" s="8" t="s">
        <v>5</v>
      </c>
      <c r="D2467" s="11" t="s">
        <v>384</v>
      </c>
    </row>
    <row r="2468" spans="1:4" ht="30">
      <c r="A2468" s="5" t="str">
        <f>HYPERLINK("https://www.oit.va.gov/Services/TRM/ToolPage.aspx?tid=14781^","WISCONSIN PERSONALITY DISORDERS INVENTORY (WISPI)")</f>
        <v>WISCONSIN PERSONALITY DISORDERS INVENTORY (WISPI)</v>
      </c>
      <c r="B2468" s="4" t="s">
        <v>3640</v>
      </c>
      <c r="C2468" s="8" t="s">
        <v>5</v>
      </c>
      <c r="D2468" s="11" t="s">
        <v>3641</v>
      </c>
    </row>
    <row r="2469" spans="1:4" ht="30">
      <c r="A2469" s="5" t="str">
        <f>HYPERLINK("https://www.oit.va.gov/Services/TRM/ToolPage.aspx?tid=7427^","PictZar Pro")</f>
        <v>PictZar Pro</v>
      </c>
      <c r="B2469" s="4" t="s">
        <v>1198</v>
      </c>
      <c r="C2469" s="8" t="s">
        <v>5</v>
      </c>
      <c r="D2469" s="11" t="s">
        <v>1091</v>
      </c>
    </row>
    <row r="2470" spans="1:4" ht="30">
      <c r="A2470" s="5" t="str">
        <f>HYPERLINK("https://www.oit.va.gov/Services/TRM/ToolPage.aspx?tid=7528^","Factor")</f>
        <v>Factor</v>
      </c>
      <c r="B2470" s="4" t="s">
        <v>2120</v>
      </c>
      <c r="C2470" s="8" t="s">
        <v>5</v>
      </c>
      <c r="D2470" s="11" t="s">
        <v>2121</v>
      </c>
    </row>
    <row r="2471" spans="1:4" ht="30">
      <c r="A2471" s="5" t="str">
        <f>HYPERLINK("https://www.oit.va.gov/Services/TRM/ToolPage.aspx?tid=16436^","Dracut")</f>
        <v>Dracut</v>
      </c>
      <c r="B2471" s="4" t="s">
        <v>6537</v>
      </c>
      <c r="C2471" s="8" t="s">
        <v>5</v>
      </c>
      <c r="D2471" s="11" t="s">
        <v>3943</v>
      </c>
    </row>
    <row r="2472" spans="1:4" ht="30">
      <c r="A2472" s="5" t="str">
        <f>HYPERLINK("https://www.oit.va.gov/Services/TRM/ToolPage.aspx?tid=7755^","Innovian Non-Clinical Anesthesia Record Keeping Clinical Information System")</f>
        <v>Innovian Non-Clinical Anesthesia Record Keeping Clinical Information System</v>
      </c>
      <c r="B2472" s="4" t="s">
        <v>87</v>
      </c>
      <c r="C2472" s="8" t="s">
        <v>5</v>
      </c>
      <c r="D2472" s="11" t="s">
        <v>88</v>
      </c>
    </row>
    <row r="2473" spans="1:4" ht="30">
      <c r="A2473" s="5" t="str">
        <f>HYPERLINK("https://www.oit.va.gov/Services/TRM/ToolPage.aspx?tid=7615^","ServiceConnect")</f>
        <v>ServiceConnect</v>
      </c>
      <c r="B2473" s="4" t="s">
        <v>87</v>
      </c>
      <c r="C2473" s="8" t="s">
        <v>5</v>
      </c>
      <c r="D2473" s="11" t="s">
        <v>458</v>
      </c>
    </row>
    <row r="2474" spans="1:4" ht="30">
      <c r="A2474" s="5" t="str">
        <f>HYPERLINK("https://www.oit.va.gov/Services/TRM/ToolPage.aspx?tid=9858^","X-Dock Manager")</f>
        <v>X-Dock Manager</v>
      </c>
      <c r="B2474" s="4" t="s">
        <v>87</v>
      </c>
      <c r="C2474" s="8" t="s">
        <v>5</v>
      </c>
      <c r="D2474" s="11" t="s">
        <v>1222</v>
      </c>
    </row>
    <row r="2475" spans="1:4" ht="30">
      <c r="A2475" s="5" t="str">
        <f>HYPERLINK("https://www.oit.va.gov/Services/TRM/ToolPage.aspx?tid=15596^","Dremel DigiLab Three-Dimensional (3D) Slicer")</f>
        <v>Dremel DigiLab Three-Dimensional (3D) Slicer</v>
      </c>
      <c r="B2475" s="4" t="s">
        <v>4042</v>
      </c>
      <c r="C2475" s="8" t="s">
        <v>5</v>
      </c>
      <c r="D2475" s="11" t="s">
        <v>4043</v>
      </c>
    </row>
    <row r="2476" spans="1:4" ht="30">
      <c r="A2476" s="5" t="str">
        <f>HYPERLINK("https://www.oit.va.gov/Services/TRM/ToolPage.aspx?tid=7611^","iGo Portable Oxygen Concentrator (POC) OxyTrack Software")</f>
        <v>iGo Portable Oxygen Concentrator (POC) OxyTrack Software</v>
      </c>
      <c r="B2476" s="4" t="s">
        <v>8053</v>
      </c>
      <c r="C2476" s="8" t="s">
        <v>5</v>
      </c>
      <c r="D2476" s="11" t="s">
        <v>8054</v>
      </c>
    </row>
    <row r="2477" spans="1:4" ht="30">
      <c r="A2477" s="5" t="str">
        <f>HYPERLINK("https://www.oit.va.gov/Services/TRM/ToolPage.aspx?tid=14675^","Driver Navigator")</f>
        <v>Driver Navigator</v>
      </c>
      <c r="B2477" s="4" t="s">
        <v>5156</v>
      </c>
      <c r="C2477" s="8" t="s">
        <v>5</v>
      </c>
      <c r="D2477" s="11" t="s">
        <v>5157</v>
      </c>
    </row>
    <row r="2478" spans="1:4" ht="30">
      <c r="A2478" s="5" t="str">
        <f>HYPERLINK("https://www.oit.va.gov/Services/TRM/ToolPage.aspx?tid=13814^","DriverFinder")</f>
        <v>DriverFinder</v>
      </c>
      <c r="B2478" s="4" t="s">
        <v>7799</v>
      </c>
      <c r="C2478" s="8" t="s">
        <v>5</v>
      </c>
      <c r="D2478" s="11" t="s">
        <v>7800</v>
      </c>
    </row>
    <row r="2479" spans="1:4" ht="30">
      <c r="A2479" s="5" t="str">
        <f>HYPERLINK("https://www.oit.va.gov/Services/TRM/ToolPage.aspx?tid=14355^","DRIVERAGENT")</f>
        <v>DRIVERAGENT</v>
      </c>
      <c r="B2479" s="4" t="s">
        <v>3265</v>
      </c>
      <c r="C2479" s="8" t="s">
        <v>5</v>
      </c>
      <c r="D2479" s="11" t="s">
        <v>3266</v>
      </c>
    </row>
    <row r="2480" spans="1:4" ht="30">
      <c r="A2480" s="5" t="str">
        <f>HYPERLINK("https://www.oit.va.gov/Services/TRM/ToolPage.aspx?tid=13847^","Driver Support")</f>
        <v>Driver Support</v>
      </c>
      <c r="B2480" s="4" t="s">
        <v>7795</v>
      </c>
      <c r="C2480" s="8" t="s">
        <v>5</v>
      </c>
      <c r="D2480" s="11" t="s">
        <v>7796</v>
      </c>
    </row>
    <row r="2481" spans="1:4" ht="30">
      <c r="A2481" s="5" t="str">
        <f>HYPERLINK("https://www.oit.va.gov/Services/TRM/ToolPage.aspx?tid=13877^","Drobo Dashboard")</f>
        <v>Drobo Dashboard</v>
      </c>
      <c r="B2481" s="4" t="s">
        <v>7805</v>
      </c>
      <c r="C2481" s="8" t="s">
        <v>5</v>
      </c>
      <c r="D2481" s="11" t="s">
        <v>7806</v>
      </c>
    </row>
    <row r="2482" spans="1:4" ht="30">
      <c r="A2482" s="5" t="str">
        <f>HYPERLINK("https://www.oit.va.gov/Services/TRM/ToolPage.aspx?tid=11248^","DropBox")</f>
        <v>DropBox</v>
      </c>
      <c r="B2482" s="4" t="s">
        <v>7809</v>
      </c>
      <c r="C2482" s="8" t="s">
        <v>5</v>
      </c>
      <c r="D2482" s="11" t="s">
        <v>7810</v>
      </c>
    </row>
    <row r="2483" spans="1:4" ht="30">
      <c r="A2483" s="5" t="str">
        <f>HYPERLINK("https://www.oit.va.gov/Services/TRM/ToolPage.aspx?tid=10835^","Druid")</f>
        <v>Druid</v>
      </c>
      <c r="B2483" s="4" t="s">
        <v>6539</v>
      </c>
      <c r="C2483" s="8" t="s">
        <v>5</v>
      </c>
      <c r="D2483" s="11" t="s">
        <v>6540</v>
      </c>
    </row>
    <row r="2484" spans="1:4" ht="30">
      <c r="A2484" s="5" t="str">
        <f>HYPERLINK("https://www.oit.va.gov/Services/TRM/ToolPage.aspx?tid=13104^","Devel - Drupal Module")</f>
        <v>Devel - Drupal Module</v>
      </c>
      <c r="B2484" s="4" t="s">
        <v>647</v>
      </c>
      <c r="C2484" s="8" t="s">
        <v>5</v>
      </c>
      <c r="D2484" s="11" t="s">
        <v>648</v>
      </c>
    </row>
    <row r="2485" spans="1:4" ht="30">
      <c r="A2485" s="5" t="str">
        <f>HYPERLINK("https://www.oit.va.gov/Services/TRM/ToolPage.aspx?tid=6631^","Drupal")</f>
        <v>Drupal</v>
      </c>
      <c r="B2485" s="4" t="s">
        <v>647</v>
      </c>
      <c r="C2485" s="8" t="s">
        <v>5</v>
      </c>
      <c r="D2485" s="11" t="s">
        <v>1506</v>
      </c>
    </row>
    <row r="2486" spans="1:4" ht="30">
      <c r="A2486" s="5" t="str">
        <f>HYPERLINK("https://www.oit.va.gov/Services/TRM/ToolPage.aspx?tid=11669^","Backup and Migrate - Drupal Module")</f>
        <v>Backup and Migrate - Drupal Module</v>
      </c>
      <c r="B2486" s="4" t="s">
        <v>647</v>
      </c>
      <c r="C2486" s="8" t="s">
        <v>5</v>
      </c>
      <c r="D2486" s="11" t="s">
        <v>504</v>
      </c>
    </row>
    <row r="2487" spans="1:4" ht="30">
      <c r="A2487" s="5" t="str">
        <f>HYPERLINK("https://www.oit.va.gov/Services/TRM/ToolPage.aspx?tid=10943^","Media - Drupal Module")</f>
        <v>Media - Drupal Module</v>
      </c>
      <c r="B2487" s="4" t="s">
        <v>647</v>
      </c>
      <c r="C2487" s="8" t="s">
        <v>5</v>
      </c>
      <c r="D2487" s="11" t="s">
        <v>2755</v>
      </c>
    </row>
    <row r="2488" spans="1:4" ht="30">
      <c r="A2488" s="5" t="str">
        <f>HYPERLINK("https://www.oit.va.gov/Services/TRM/ToolPage.aspx?tid=11275^","Media YouTube - Drupal Module")</f>
        <v>Media YouTube - Drupal Module</v>
      </c>
      <c r="B2488" s="4" t="s">
        <v>647</v>
      </c>
      <c r="C2488" s="8" t="s">
        <v>5</v>
      </c>
      <c r="D2488" s="11" t="s">
        <v>1543</v>
      </c>
    </row>
    <row r="2489" spans="1:4" ht="30">
      <c r="A2489" s="5" t="str">
        <f>HYPERLINK("https://www.oit.va.gov/Services/TRM/ToolPage.aspx?tid=8583^","Forena Reports")</f>
        <v>Forena Reports</v>
      </c>
      <c r="B2489" s="4" t="s">
        <v>647</v>
      </c>
      <c r="C2489" s="8" t="s">
        <v>5</v>
      </c>
      <c r="D2489" s="11" t="s">
        <v>2233</v>
      </c>
    </row>
    <row r="2490" spans="1:4" ht="30">
      <c r="A2490" s="5" t="str">
        <f>HYPERLINK("https://www.oit.va.gov/Services/TRM/ToolPage.aspx?tid=10394^","Drupal Webform Module")</f>
        <v>Drupal Webform Module</v>
      </c>
      <c r="B2490" s="4" t="s">
        <v>647</v>
      </c>
      <c r="C2490" s="8" t="s">
        <v>5</v>
      </c>
      <c r="D2490" s="11" t="s">
        <v>4044</v>
      </c>
    </row>
    <row r="2491" spans="1:4" ht="30">
      <c r="A2491" s="5" t="str">
        <f>HYPERLINK("https://www.oit.va.gov/Services/TRM/ToolPage.aspx?tid=8551^","Images for Moxie Code Editor (IMCE)- Drupal Module")</f>
        <v>Images for Moxie Code Editor (IMCE)- Drupal Module</v>
      </c>
      <c r="B2491" s="4" t="s">
        <v>647</v>
      </c>
      <c r="C2491" s="8" t="s">
        <v>5</v>
      </c>
      <c r="D2491" s="11" t="s">
        <v>3604</v>
      </c>
    </row>
    <row r="2492" spans="1:4" ht="30">
      <c r="A2492" s="5" t="str">
        <f>HYPERLINK("https://www.oit.va.gov/Services/TRM/ToolPage.aspx?tid=10648^","Chaos Tool Suite (ctools) - Drupal Module")</f>
        <v>Chaos Tool Suite (ctools) - Drupal Module</v>
      </c>
      <c r="B2492" s="4" t="s">
        <v>647</v>
      </c>
      <c r="C2492" s="8" t="s">
        <v>5</v>
      </c>
      <c r="D2492" s="11" t="s">
        <v>3917</v>
      </c>
    </row>
    <row r="2493" spans="1:4" ht="30">
      <c r="A2493" s="5" t="str">
        <f>HYPERLINK("https://www.oit.va.gov/Services/TRM/ToolPage.aspx?tid=12912^","Footnotes - Drupal module")</f>
        <v>Footnotes - Drupal module</v>
      </c>
      <c r="B2493" s="4" t="s">
        <v>647</v>
      </c>
      <c r="C2493" s="8" t="s">
        <v>5</v>
      </c>
      <c r="D2493" s="11" t="s">
        <v>5204</v>
      </c>
    </row>
    <row r="2494" spans="1:4" ht="30">
      <c r="A2494" s="5" t="str">
        <f>HYPERLINK("https://www.oit.va.gov/Services/TRM/ToolPage.aspx?tid=12913^","Frequently Asked Question (FAQ) Field- Drupal Module")</f>
        <v>Frequently Asked Question (FAQ) Field- Drupal Module</v>
      </c>
      <c r="B2494" s="4" t="s">
        <v>647</v>
      </c>
      <c r="C2494" s="8" t="s">
        <v>5</v>
      </c>
      <c r="D2494" s="11" t="s">
        <v>5150</v>
      </c>
    </row>
    <row r="2495" spans="1:4" ht="30">
      <c r="A2495" s="5" t="str">
        <f>HYPERLINK("https://www.oit.va.gov/Services/TRM/ToolPage.aspx?tid=9121^","Metatag - Drupal Module")</f>
        <v>Metatag - Drupal Module</v>
      </c>
      <c r="B2495" s="4" t="s">
        <v>647</v>
      </c>
      <c r="C2495" s="8" t="s">
        <v>5</v>
      </c>
      <c r="D2495" s="11" t="s">
        <v>5338</v>
      </c>
    </row>
    <row r="2496" spans="1:4" ht="30">
      <c r="A2496" s="5" t="str">
        <f>HYPERLINK("https://www.oit.va.gov/Services/TRM/ToolPage.aspx?tid=11286^","References - Drupal Module")</f>
        <v>References - Drupal Module</v>
      </c>
      <c r="B2496" s="4" t="s">
        <v>647</v>
      </c>
      <c r="C2496" s="8" t="s">
        <v>5</v>
      </c>
      <c r="D2496" s="11" t="s">
        <v>1090</v>
      </c>
    </row>
    <row r="2497" spans="1:4" ht="30">
      <c r="A2497" s="5" t="str">
        <f>HYPERLINK("https://www.oit.va.gov/Services/TRM/ToolPage.aspx?tid=11260^","Site Verification - Drupal Module")</f>
        <v>Site Verification - Drupal Module</v>
      </c>
      <c r="B2497" s="4" t="s">
        <v>647</v>
      </c>
      <c r="C2497" s="8" t="s">
        <v>5</v>
      </c>
      <c r="D2497" s="11" t="s">
        <v>4635</v>
      </c>
    </row>
    <row r="2498" spans="1:4" ht="30">
      <c r="A2498" s="5" t="str">
        <f>HYPERLINK("https://www.oit.va.gov/Services/TRM/ToolPage.aspx?tid=10944^","Universally Unique IDentifier - Drupal Module")</f>
        <v>Universally Unique IDentifier - Drupal Module</v>
      </c>
      <c r="B2498" s="4" t="s">
        <v>647</v>
      </c>
      <c r="C2498" s="8" t="s">
        <v>5</v>
      </c>
      <c r="D2498" s="11" t="s">
        <v>4301</v>
      </c>
    </row>
    <row r="2499" spans="1:4" ht="30">
      <c r="A2499" s="5" t="str">
        <f>HYPERLINK("https://www.oit.va.gov/Services/TRM/ToolPage.aspx?tid=9569^","Varnish - Drupal Module")</f>
        <v>Varnish - Drupal Module</v>
      </c>
      <c r="B2499" s="4" t="s">
        <v>647</v>
      </c>
      <c r="C2499" s="8" t="s">
        <v>5</v>
      </c>
      <c r="D2499" s="11" t="s">
        <v>5570</v>
      </c>
    </row>
    <row r="2500" spans="1:4" ht="30">
      <c r="A2500" s="5" t="str">
        <f>HYPERLINK("https://www.oit.va.gov/Services/TRM/ToolPage.aspx?tid=10956^","Views - Drupal Module")</f>
        <v>Views - Drupal Module</v>
      </c>
      <c r="B2500" s="4" t="s">
        <v>647</v>
      </c>
      <c r="C2500" s="8" t="s">
        <v>5</v>
      </c>
      <c r="D2500" s="11" t="s">
        <v>3604</v>
      </c>
    </row>
    <row r="2501" spans="1:4" ht="30">
      <c r="A2501" s="5" t="str">
        <f>HYPERLINK("https://www.oit.va.gov/Services/TRM/ToolPage.aspx?tid=9149^","Workbench - Drupal Module")</f>
        <v>Workbench - Drupal Module</v>
      </c>
      <c r="B2501" s="4" t="s">
        <v>647</v>
      </c>
      <c r="C2501" s="8" t="s">
        <v>5</v>
      </c>
      <c r="D2501" s="11" t="s">
        <v>4999</v>
      </c>
    </row>
    <row r="2502" spans="1:4" ht="30">
      <c r="A2502" s="5" t="str">
        <f>HYPERLINK("https://www.oit.va.gov/Services/TRM/ToolPage.aspx?tid=11032^","Workbench Media - Drupal Module")</f>
        <v>Workbench Media - Drupal Module</v>
      </c>
      <c r="B2502" s="4" t="s">
        <v>647</v>
      </c>
      <c r="C2502" s="8" t="s">
        <v>5</v>
      </c>
      <c r="D2502" s="11" t="s">
        <v>5009</v>
      </c>
    </row>
    <row r="2503" spans="1:4" ht="30">
      <c r="A2503" s="5" t="str">
        <f>HYPERLINK("https://www.oit.va.gov/Services/TRM/ToolPage.aspx?tid=10946^","Better Exposed Filters - Drupal Module")</f>
        <v>Better Exposed Filters - Drupal Module</v>
      </c>
      <c r="B2503" s="4" t="s">
        <v>647</v>
      </c>
      <c r="C2503" s="8" t="s">
        <v>5</v>
      </c>
      <c r="D2503" s="11" t="s">
        <v>6340</v>
      </c>
    </row>
    <row r="2504" spans="1:4" ht="30">
      <c r="A2504" s="5" t="str">
        <f>HYPERLINK("https://www.oit.va.gov/Services/TRM/ToolPage.aspx?tid=8664^","Bootstrap for Drupal")</f>
        <v>Bootstrap for Drupal</v>
      </c>
      <c r="B2504" s="4" t="s">
        <v>647</v>
      </c>
      <c r="C2504" s="8" t="s">
        <v>5</v>
      </c>
      <c r="D2504" s="11" t="s">
        <v>3759</v>
      </c>
    </row>
    <row r="2505" spans="1:4" ht="30">
      <c r="A2505" s="5" t="str">
        <f>HYPERLINK("https://www.oit.va.gov/Services/TRM/ToolPage.aspx?tid=10951^","CAPTCHA - Drupal Module")</f>
        <v>CAPTCHA - Drupal Module</v>
      </c>
      <c r="B2505" s="4" t="s">
        <v>647</v>
      </c>
      <c r="C2505" s="8" t="s">
        <v>5</v>
      </c>
      <c r="D2505" s="11" t="s">
        <v>638</v>
      </c>
    </row>
    <row r="2506" spans="1:4" ht="30">
      <c r="A2506" s="5" t="str">
        <f>HYPERLINK("https://www.oit.va.gov/Services/TRM/ToolPage.aspx?tid=11279^","Date - Drupal Module")</f>
        <v>Date - Drupal Module</v>
      </c>
      <c r="B2506" s="4" t="s">
        <v>647</v>
      </c>
      <c r="C2506" s="8" t="s">
        <v>5</v>
      </c>
      <c r="D2506" s="11" t="s">
        <v>6484</v>
      </c>
    </row>
    <row r="2507" spans="1:4" ht="30">
      <c r="A2507" s="5" t="str">
        <f>HYPERLINK("https://www.oit.va.gov/Services/TRM/ToolPage.aspx?tid=10950^","Diff - Drupal Module")</f>
        <v>Diff - Drupal Module</v>
      </c>
      <c r="B2507" s="4" t="s">
        <v>647</v>
      </c>
      <c r="C2507" s="8" t="s">
        <v>5</v>
      </c>
      <c r="D2507" s="11" t="s">
        <v>2117</v>
      </c>
    </row>
    <row r="2508" spans="1:4" ht="30">
      <c r="A2508" s="5" t="str">
        <f>HYPERLINK("https://www.oit.va.gov/Services/TRM/ToolPage.aspx?tid=9117^","Entity Application Programming Interface (API) - Drupal Module")</f>
        <v>Entity Application Programming Interface (API) - Drupal Module</v>
      </c>
      <c r="B2508" s="4" t="s">
        <v>647</v>
      </c>
      <c r="C2508" s="8" t="s">
        <v>5</v>
      </c>
      <c r="D2508" s="11" t="s">
        <v>2113</v>
      </c>
    </row>
    <row r="2509" spans="1:4" ht="30">
      <c r="A2509" s="5" t="str">
        <f>HYPERLINK("https://www.oit.va.gov/Services/TRM/ToolPage.aspx?tid=11258^","Entity Reference - Drupal Module")</f>
        <v>Entity Reference - Drupal Module</v>
      </c>
      <c r="B2509" s="4" t="s">
        <v>647</v>
      </c>
      <c r="C2509" s="8" t="s">
        <v>5</v>
      </c>
      <c r="D2509" s="11" t="s">
        <v>4054</v>
      </c>
    </row>
    <row r="2510" spans="1:4" ht="30">
      <c r="A2510" s="5" t="str">
        <f>HYPERLINK("https://www.oit.va.gov/Services/TRM/ToolPage.aspx?tid=8469^","Extensible Markup Language (XML) Sitemap - Drupal Module")</f>
        <v>Extensible Markup Language (XML) Sitemap - Drupal Module</v>
      </c>
      <c r="B2510" s="4" t="s">
        <v>647</v>
      </c>
      <c r="C2510" s="8" t="s">
        <v>5</v>
      </c>
      <c r="D2510" s="11" t="s">
        <v>2637</v>
      </c>
    </row>
    <row r="2511" spans="1:4" ht="30">
      <c r="A2511" s="5" t="str">
        <f>HYPERLINK("https://www.oit.va.gov/Services/TRM/ToolPage.aspx?tid=13116^","External Links - Drupal Module")</f>
        <v>External Links - Drupal Module</v>
      </c>
      <c r="B2511" s="4" t="s">
        <v>647</v>
      </c>
      <c r="C2511" s="8" t="s">
        <v>5</v>
      </c>
      <c r="D2511" s="11" t="s">
        <v>6600</v>
      </c>
    </row>
    <row r="2512" spans="1:4" ht="30">
      <c r="A2512" s="5" t="str">
        <f>HYPERLINK("https://www.oit.va.gov/Services/TRM/ToolPage.aspx?tid=9563^","Features - Drupal Module")</f>
        <v>Features - Drupal Module</v>
      </c>
      <c r="B2512" s="4" t="s">
        <v>647</v>
      </c>
      <c r="C2512" s="8" t="s">
        <v>5</v>
      </c>
      <c r="D2512" s="11" t="s">
        <v>238</v>
      </c>
    </row>
    <row r="2513" spans="1:4" ht="30">
      <c r="A2513" s="5" t="str">
        <f>HYPERLINK("https://www.oit.va.gov/Services/TRM/ToolPage.aspx?tid=10375^","Field Collection Fieldset - Drupal Module")</f>
        <v>Field Collection Fieldset - Drupal Module</v>
      </c>
      <c r="B2513" s="4" t="s">
        <v>647</v>
      </c>
      <c r="C2513" s="8" t="s">
        <v>5</v>
      </c>
      <c r="D2513" s="11" t="s">
        <v>6193</v>
      </c>
    </row>
    <row r="2514" spans="1:4" ht="30">
      <c r="A2514" s="5" t="str">
        <f>HYPERLINK("https://www.oit.va.gov/Services/TRM/ToolPage.aspx?tid=8930^","Flex Slider - Drupal Module")</f>
        <v>Flex Slider - Drupal Module</v>
      </c>
      <c r="B2514" s="4" t="s">
        <v>647</v>
      </c>
      <c r="C2514" s="8" t="s">
        <v>5</v>
      </c>
      <c r="D2514" s="11" t="s">
        <v>6617</v>
      </c>
    </row>
    <row r="2515" spans="1:4" ht="30">
      <c r="A2515" s="5" t="str">
        <f>HYPERLINK("https://www.oit.va.gov/Services/TRM/ToolPage.aspx?tid=11627^","Insert - Drupal Module")</f>
        <v>Insert - Drupal Module</v>
      </c>
      <c r="B2515" s="4" t="s">
        <v>647</v>
      </c>
      <c r="C2515" s="8" t="s">
        <v>5</v>
      </c>
      <c r="D2515" s="11" t="s">
        <v>2141</v>
      </c>
    </row>
    <row r="2516" spans="1:4" ht="30">
      <c r="A2516" s="5" t="str">
        <f>HYPERLINK("https://www.oit.va.gov/Services/TRM/ToolPage.aspx?tid=14802^","Mime Mail - Drupal Module")</f>
        <v>Mime Mail - Drupal Module</v>
      </c>
      <c r="B2516" s="4" t="s">
        <v>647</v>
      </c>
      <c r="C2516" s="8" t="s">
        <v>5</v>
      </c>
      <c r="D2516" s="11" t="s">
        <v>6872</v>
      </c>
    </row>
    <row r="2517" spans="1:4" ht="30">
      <c r="A2517" s="5" t="str">
        <f>HYPERLINK("https://www.oit.va.gov/Services/TRM/ToolPage.aspx?tid=11276^","Password Policy - Drupal Module")</f>
        <v>Password Policy - Drupal Module</v>
      </c>
      <c r="B2517" s="4" t="s">
        <v>647</v>
      </c>
      <c r="C2517" s="8" t="s">
        <v>5</v>
      </c>
      <c r="D2517" s="11" t="s">
        <v>6993</v>
      </c>
    </row>
    <row r="2518" spans="1:4" ht="30">
      <c r="A2518" s="5" t="str">
        <f>HYPERLINK("https://www.oit.va.gov/Services/TRM/ToolPage.aspx?tid=8397^","Weight - Drupal Module")</f>
        <v>Weight - Drupal Module</v>
      </c>
      <c r="B2518" s="4" t="s">
        <v>647</v>
      </c>
      <c r="C2518" s="8" t="s">
        <v>5</v>
      </c>
      <c r="D2518" s="11" t="s">
        <v>7322</v>
      </c>
    </row>
    <row r="2519" spans="1:4" ht="30">
      <c r="A2519" s="5" t="str">
        <f>HYPERLINK("https://www.oit.va.gov/Services/TRM/ToolPage.aspx?tid=11287^","File Entity - Drupal Module")</f>
        <v>File Entity - Drupal Module</v>
      </c>
      <c r="B2519" s="4" t="s">
        <v>647</v>
      </c>
      <c r="C2519" s="8" t="s">
        <v>5</v>
      </c>
      <c r="D2519" s="11" t="s">
        <v>1095</v>
      </c>
    </row>
    <row r="2520" spans="1:4" ht="30">
      <c r="A2520" s="5" t="str">
        <f>HYPERLINK("https://www.oit.va.gov/Services/TRM/ToolPage.aspx?tid=10235^","Fivestar - Drupal Module")</f>
        <v>Fivestar - Drupal Module</v>
      </c>
      <c r="B2520" s="4" t="s">
        <v>647</v>
      </c>
      <c r="C2520" s="8" t="s">
        <v>5</v>
      </c>
      <c r="D2520" s="11" t="s">
        <v>5201</v>
      </c>
    </row>
    <row r="2521" spans="1:4" ht="30">
      <c r="A2521" s="5" t="str">
        <f>HYPERLINK("https://www.oit.va.gov/Services/TRM/ToolPage.aspx?tid=10320^","Libraries Application Programming Interface (API) - Drupal Module")</f>
        <v>Libraries Application Programming Interface (API) - Drupal Module</v>
      </c>
      <c r="B2521" s="4" t="s">
        <v>647</v>
      </c>
      <c r="C2521" s="8" t="s">
        <v>5</v>
      </c>
      <c r="D2521" s="11" t="s">
        <v>8088</v>
      </c>
    </row>
    <row r="2522" spans="1:4" ht="30">
      <c r="A2522" s="5" t="str">
        <f>HYPERLINK("https://www.oit.va.gov/Services/TRM/ToolPage.aspx?tid=14827^","Mail System - Drupal Module")</f>
        <v>Mail System - Drupal Module</v>
      </c>
      <c r="B2522" s="4" t="s">
        <v>647</v>
      </c>
      <c r="C2522" s="8" t="s">
        <v>5</v>
      </c>
      <c r="D2522" s="11" t="s">
        <v>2724</v>
      </c>
    </row>
    <row r="2523" spans="1:4" ht="30">
      <c r="A2523" s="5" t="str">
        <f>HYPERLINK("https://www.oit.va.gov/Services/TRM/ToolPage.aspx?tid=12970^","Migrate - Drupal Module")</f>
        <v>Migrate - Drupal Module</v>
      </c>
      <c r="B2523" s="4" t="s">
        <v>647</v>
      </c>
      <c r="C2523" s="8" t="s">
        <v>5</v>
      </c>
      <c r="D2523" s="11" t="s">
        <v>3118</v>
      </c>
    </row>
    <row r="2524" spans="1:4" ht="30">
      <c r="A2524" s="5" t="str">
        <f>HYPERLINK("https://www.oit.va.gov/Services/TRM/ToolPage.aspx?tid=9941^","OpenPublic - Drupal Module")</f>
        <v>OpenPublic - Drupal Module</v>
      </c>
      <c r="B2524" s="4" t="s">
        <v>647</v>
      </c>
      <c r="C2524" s="8" t="s">
        <v>5</v>
      </c>
      <c r="D2524" s="11" t="s">
        <v>3275</v>
      </c>
    </row>
    <row r="2525" spans="1:4" ht="30">
      <c r="A2525" s="5" t="str">
        <f>HYPERLINK("https://www.oit.va.gov/Services/TRM/ToolPage.aspx?tid=10323^","Panels - Drupal Module")</f>
        <v>Panels - Drupal Module</v>
      </c>
      <c r="B2525" s="4" t="s">
        <v>647</v>
      </c>
      <c r="C2525" s="8" t="s">
        <v>5</v>
      </c>
      <c r="D2525" s="11" t="s">
        <v>5410</v>
      </c>
    </row>
    <row r="2526" spans="1:4" ht="30">
      <c r="A2526" s="5" t="str">
        <f>HYPERLINK("https://www.oit.va.gov/Services/TRM/ToolPage.aspx?tid=10324^","Pathauto - Drupal Module")</f>
        <v>Pathauto - Drupal Module</v>
      </c>
      <c r="B2526" s="4" t="s">
        <v>647</v>
      </c>
      <c r="C2526" s="8" t="s">
        <v>5</v>
      </c>
      <c r="D2526" s="11" t="s">
        <v>8402</v>
      </c>
    </row>
    <row r="2527" spans="1:4" ht="30">
      <c r="A2527" s="5" t="str">
        <f>HYPERLINK("https://www.oit.va.gov/Services/TRM/ToolPage.aspx?tid=9140^","Search Application Programming Interface (API) - Drupal Module")</f>
        <v>Search Application Programming Interface (API) - Drupal Module</v>
      </c>
      <c r="B2527" s="4" t="s">
        <v>647</v>
      </c>
      <c r="C2527" s="8" t="s">
        <v>5</v>
      </c>
      <c r="D2527" s="11" t="s">
        <v>1140</v>
      </c>
    </row>
    <row r="2528" spans="1:4" ht="30">
      <c r="A2528" s="5" t="str">
        <f>HYPERLINK("https://www.oit.va.gov/Services/TRM/ToolPage.aspx?tid=9228^","Search Application Programming Interface (API) Database Search - Drupal Module")</f>
        <v>Search Application Programming Interface (API) Database Search - Drupal Module</v>
      </c>
      <c r="B2528" s="4" t="s">
        <v>647</v>
      </c>
      <c r="C2528" s="8" t="s">
        <v>5</v>
      </c>
      <c r="D2528" s="11" t="s">
        <v>7116</v>
      </c>
    </row>
    <row r="2529" spans="1:4" ht="30">
      <c r="A2529" s="5" t="str">
        <f>HYPERLINK("https://www.oit.va.gov/Services/TRM/ToolPage.aspx?tid=14811^","Simple Mail Transfer Protocol (SMTP) Authentication Support - Drupal Module")</f>
        <v>Simple Mail Transfer Protocol (SMTP) Authentication Support - Drupal Module</v>
      </c>
      <c r="B2529" s="4" t="s">
        <v>647</v>
      </c>
      <c r="C2529" s="8" t="s">
        <v>5</v>
      </c>
      <c r="D2529" s="11" t="s">
        <v>8655</v>
      </c>
    </row>
    <row r="2530" spans="1:4" ht="30">
      <c r="A2530" s="5" t="str">
        <f>HYPERLINK("https://www.oit.va.gov/Services/TRM/ToolPage.aspx?tid=8363^","Token - Drupal Module")</f>
        <v>Token - Drupal Module</v>
      </c>
      <c r="B2530" s="4" t="s">
        <v>647</v>
      </c>
      <c r="C2530" s="8" t="s">
        <v>5</v>
      </c>
      <c r="D2530" s="11" t="s">
        <v>8815</v>
      </c>
    </row>
    <row r="2531" spans="1:4" ht="30">
      <c r="A2531" s="5" t="str">
        <f>HYPERLINK("https://www.oit.va.gov/Services/TRM/ToolPage.aspx?tid=10933^","Universally Unique IDentifier Features Integration - Drupal Module")</f>
        <v>Universally Unique IDentifier Features Integration - Drupal Module</v>
      </c>
      <c r="B2531" s="4" t="s">
        <v>647</v>
      </c>
      <c r="C2531" s="8" t="s">
        <v>5</v>
      </c>
      <c r="D2531" s="11" t="s">
        <v>8853</v>
      </c>
    </row>
    <row r="2532" spans="1:4" ht="30">
      <c r="A2532" s="5" t="str">
        <f>HYPERLINK("https://www.oit.va.gov/Services/TRM/ToolPage.aspx?tid=12955^","Voting Application Programming Interface (API) - Drupal Module")</f>
        <v>Voting Application Programming Interface (API) - Drupal Module</v>
      </c>
      <c r="B2532" s="4" t="s">
        <v>647</v>
      </c>
      <c r="C2532" s="8" t="s">
        <v>5</v>
      </c>
      <c r="D2532" s="11" t="s">
        <v>3086</v>
      </c>
    </row>
    <row r="2533" spans="1:4" ht="30">
      <c r="A2533" s="5" t="str">
        <f>HYPERLINK("https://www.oit.va.gov/Services/TRM/ToolPage.aspx?tid=10346^","Workbench Access - Drupal Module")</f>
        <v>Workbench Access - Drupal Module</v>
      </c>
      <c r="B2533" s="4" t="s">
        <v>647</v>
      </c>
      <c r="C2533" s="8" t="s">
        <v>5</v>
      </c>
      <c r="D2533" s="11" t="s">
        <v>259</v>
      </c>
    </row>
    <row r="2534" spans="1:4" ht="30">
      <c r="A2534" s="5" t="str">
        <f>HYPERLINK("https://www.oit.va.gov/Services/TRM/ToolPage.aspx?tid=10269^","Workbench Email")</f>
        <v>Workbench Email</v>
      </c>
      <c r="B2534" s="4" t="s">
        <v>647</v>
      </c>
      <c r="C2534" s="8" t="s">
        <v>5</v>
      </c>
      <c r="D2534" s="11" t="s">
        <v>1848</v>
      </c>
    </row>
    <row r="2535" spans="1:4" ht="30">
      <c r="A2535" s="5" t="str">
        <f>HYPERLINK("https://www.oit.va.gov/Services/TRM/ToolPage.aspx?tid=10791^","Workbench Moderation - Drupal Module")</f>
        <v>Workbench Moderation - Drupal Module</v>
      </c>
      <c r="B2535" s="4" t="s">
        <v>647</v>
      </c>
      <c r="C2535" s="8" t="s">
        <v>5</v>
      </c>
      <c r="D2535" s="11" t="s">
        <v>4993</v>
      </c>
    </row>
    <row r="2536" spans="1:4" ht="30">
      <c r="A2536" s="5" t="str">
        <f>HYPERLINK("https://www.oit.va.gov/Services/TRM/ToolPage.aspx?tid=8709^","Druva inSync Client")</f>
        <v>Druva inSync Client</v>
      </c>
      <c r="B2536" s="4" t="s">
        <v>1507</v>
      </c>
      <c r="C2536" s="8" t="s">
        <v>5</v>
      </c>
      <c r="D2536" s="11" t="s">
        <v>1508</v>
      </c>
    </row>
    <row r="2537" spans="1:4" ht="30">
      <c r="A2537" s="5" t="str">
        <f>HYPERLINK("https://www.oit.va.gov/Services/TRM/ToolPage.aspx?tid=11029^","D-Scope Server")</f>
        <v>D-Scope Server</v>
      </c>
      <c r="B2537" s="4" t="s">
        <v>2521</v>
      </c>
      <c r="C2537" s="8" t="s">
        <v>5</v>
      </c>
      <c r="D2537" s="11" t="s">
        <v>2522</v>
      </c>
    </row>
    <row r="2538" spans="1:4" ht="30">
      <c r="A2538" s="5" t="str">
        <f>HYPERLINK("https://www.oit.va.gov/Services/TRM/ToolPage.aspx?tid=8468^","Veterans Health Gateway (VHG)")</f>
        <v>Veterans Health Gateway (VHG)</v>
      </c>
      <c r="B2538" s="4" t="s">
        <v>5571</v>
      </c>
      <c r="C2538" s="8" t="s">
        <v>5</v>
      </c>
      <c r="D2538" s="11" t="s">
        <v>5572</v>
      </c>
    </row>
    <row r="2539" spans="1:4" ht="30">
      <c r="A2539" s="5" t="str">
        <f>HYPERLINK("https://www.oit.va.gov/Services/TRM/ToolPage.aspx?tid=15532^","VistA Integration Reporting and Revenue (VIRR)")</f>
        <v>VistA Integration Reporting and Revenue (VIRR)</v>
      </c>
      <c r="B2539" s="4" t="s">
        <v>3070</v>
      </c>
      <c r="C2539" s="8" t="s">
        <v>5</v>
      </c>
      <c r="D2539" s="11" t="s">
        <v>1254</v>
      </c>
    </row>
    <row r="2540" spans="1:4" ht="30">
      <c r="A2540" s="5" t="str">
        <f>HYPERLINK("https://www.oit.va.gov/Services/TRM/ToolPage.aspx?tid=15372^","DSS Order Tracking Manager (OTM) Laboratory")</f>
        <v>DSS Order Tracking Manager (OTM) Laboratory</v>
      </c>
      <c r="B2540" s="4" t="s">
        <v>3070</v>
      </c>
      <c r="C2540" s="8" t="s">
        <v>5</v>
      </c>
      <c r="D2540" s="11" t="s">
        <v>4045</v>
      </c>
    </row>
    <row r="2541" spans="1:4" ht="30">
      <c r="A2541" s="5" t="str">
        <f>HYPERLINK("https://www.oit.va.gov/Services/TRM/ToolPage.aspx?tid=11257^","WinDSX")</f>
        <v>WinDSX</v>
      </c>
      <c r="B2541" s="4" t="s">
        <v>1129</v>
      </c>
      <c r="C2541" s="8" t="s">
        <v>5</v>
      </c>
      <c r="D2541" s="11" t="s">
        <v>1130</v>
      </c>
    </row>
    <row r="2542" spans="1:4" ht="30">
      <c r="A2542" s="5" t="str">
        <f>HYPERLINK("https://www.oit.va.gov/Services/TRM/ToolPage.aspx?tid=14515^","dtSearch")</f>
        <v>dtSearch</v>
      </c>
      <c r="B2542" s="4" t="s">
        <v>970</v>
      </c>
      <c r="C2542" s="8" t="s">
        <v>5</v>
      </c>
      <c r="D2542" s="11" t="s">
        <v>971</v>
      </c>
    </row>
    <row r="2543" spans="1:4" ht="30">
      <c r="A2543" s="5" t="str">
        <f>HYPERLINK("https://www.oit.va.gov/Services/TRM/ToolPage.aspx?tid=9072^","DTX Studio Implant")</f>
        <v>DTX Studio Implant</v>
      </c>
      <c r="B2543" s="4" t="s">
        <v>6543</v>
      </c>
      <c r="C2543" s="8" t="s">
        <v>5</v>
      </c>
      <c r="D2543" s="11" t="s">
        <v>2496</v>
      </c>
    </row>
    <row r="2544" spans="1:4" ht="30">
      <c r="A2544" s="5" t="str">
        <f>HYPERLINK("https://www.oit.va.gov/Services/TRM/ToolPage.aspx?tid=10627^","NHapi")</f>
        <v>NHapi</v>
      </c>
      <c r="B2544" s="4" t="s">
        <v>2802</v>
      </c>
      <c r="C2544" s="8" t="s">
        <v>5</v>
      </c>
      <c r="D2544" s="11" t="s">
        <v>657</v>
      </c>
    </row>
    <row r="2545" spans="1:4" ht="30">
      <c r="A2545" s="5" t="str">
        <f>HYPERLINK("https://www.oit.va.gov/Services/TRM/ToolPage.aspx?tid=16785^","DuckDB")</f>
        <v>DuckDB</v>
      </c>
      <c r="B2545" s="4" t="s">
        <v>6546</v>
      </c>
      <c r="C2545" s="8" t="s">
        <v>5</v>
      </c>
      <c r="D2545" s="11" t="s">
        <v>6547</v>
      </c>
    </row>
    <row r="2546" spans="1:4" ht="30">
      <c r="A2546" s="5" t="str">
        <f>HYPERLINK("https://www.oit.va.gov/Services/TRM/ToolPage.aspx?tid=16590^","DuckDuckGo")</f>
        <v>DuckDuckGo</v>
      </c>
      <c r="B2546" s="4" t="s">
        <v>6548</v>
      </c>
      <c r="C2546" s="8" t="s">
        <v>5</v>
      </c>
      <c r="D2546" s="11" t="s">
        <v>6549</v>
      </c>
    </row>
    <row r="2547" spans="1:4" ht="30">
      <c r="A2547" s="5" t="str">
        <f>HYPERLINK("https://www.oit.va.gov/Services/TRM/ToolPage.aspx?tid=6690^","DuckCapture")</f>
        <v>DuckCapture</v>
      </c>
      <c r="B2547" s="4" t="s">
        <v>6545</v>
      </c>
      <c r="C2547" s="8" t="s">
        <v>5</v>
      </c>
      <c r="D2547" s="11" t="s">
        <v>1286</v>
      </c>
    </row>
    <row r="2548" spans="1:4" ht="30">
      <c r="A2548" s="5" t="str">
        <f>HYPERLINK("https://www.oit.va.gov/Services/TRM/ToolPage.aspx?tid=14009^","Duet Display")</f>
        <v>Duet Display</v>
      </c>
      <c r="B2548" s="4" t="s">
        <v>6550</v>
      </c>
      <c r="C2548" s="8" t="s">
        <v>5</v>
      </c>
      <c r="D2548" s="11" t="s">
        <v>6551</v>
      </c>
    </row>
    <row r="2549" spans="1:4" ht="30">
      <c r="A2549" s="5" t="str">
        <f>HYPERLINK("https://www.oit.va.gov/Services/TRM/ToolPage.aspx?tid=11406^","digiCamControl")</f>
        <v>digiCamControl</v>
      </c>
      <c r="B2549" s="4" t="s">
        <v>5141</v>
      </c>
      <c r="C2549" s="8" t="s">
        <v>5</v>
      </c>
      <c r="D2549" s="11" t="s">
        <v>1858</v>
      </c>
    </row>
    <row r="2550" spans="1:4" ht="30">
      <c r="A2550" s="5" t="str">
        <f>HYPERLINK("https://www.oit.va.gov/Services/TRM/ToolPage.aspx?tid=14941^","Molecular Registry of Tumors (MRT)")</f>
        <v>Molecular Registry of Tumors (MRT)</v>
      </c>
      <c r="B2550" s="4" t="s">
        <v>4447</v>
      </c>
      <c r="C2550" s="8" t="s">
        <v>5</v>
      </c>
      <c r="D2550" s="11" t="s">
        <v>4448</v>
      </c>
    </row>
    <row r="2551" spans="1:4" ht="30">
      <c r="A2551" s="5" t="str">
        <f>HYPERLINK("https://www.oit.va.gov/Services/TRM/ToolPage.aspx?tid=15846^","Dun &amp; Bradstreet (D&amp;B) Integration Manager (IM)")</f>
        <v>Dun &amp; Bradstreet (D&amp;B) Integration Manager (IM)</v>
      </c>
      <c r="B2551" s="4" t="s">
        <v>4046</v>
      </c>
      <c r="C2551" s="8" t="s">
        <v>5</v>
      </c>
      <c r="D2551" s="11" t="s">
        <v>4047</v>
      </c>
    </row>
    <row r="2552" spans="1:4" ht="30">
      <c r="A2552" s="5" t="str">
        <f>HYPERLINK("https://www.oit.va.gov/Services/TRM/ToolPage.aspx?tid=16304^","Cluster Secure Shell (ClusterSSH)")</f>
        <v>Cluster Secure Shell (ClusterSSH)</v>
      </c>
      <c r="B2552" s="4" t="s">
        <v>3934</v>
      </c>
      <c r="C2552" s="8" t="s">
        <v>5</v>
      </c>
      <c r="D2552" s="11" t="s">
        <v>3914</v>
      </c>
    </row>
    <row r="2553" spans="1:4" ht="30">
      <c r="A2553" s="5" t="str">
        <f>HYPERLINK("https://www.oit.va.gov/Services/TRM/ToolPage.aspx?tid=6561^","Duxbury Braille Translator")</f>
        <v>Duxbury Braille Translator</v>
      </c>
      <c r="B2553" s="4" t="s">
        <v>1158</v>
      </c>
      <c r="C2553" s="8" t="s">
        <v>5</v>
      </c>
      <c r="D2553" s="11" t="s">
        <v>1159</v>
      </c>
    </row>
    <row r="2554" spans="1:4" ht="30">
      <c r="A2554" s="5" t="str">
        <f>HYPERLINK("https://www.oit.va.gov/Services/TRM/ToolPage.aspx?tid=13991^","Free Video To Digital Versatile Disc (DVD) Converter")</f>
        <v>Free Video To Digital Versatile Disc (DVD) Converter</v>
      </c>
      <c r="B2554" s="4" t="s">
        <v>6633</v>
      </c>
      <c r="C2554" s="8" t="s">
        <v>5</v>
      </c>
      <c r="D2554" s="11" t="s">
        <v>2643</v>
      </c>
    </row>
    <row r="2555" spans="1:4" ht="30">
      <c r="A2555" s="5" t="str">
        <f>HYPERLINK("https://www.oit.va.gov/Services/TRM/ToolPage.aspx?tid=14389^","Free Audio Converter")</f>
        <v>Free Audio Converter</v>
      </c>
      <c r="B2555" s="4" t="s">
        <v>6633</v>
      </c>
      <c r="C2555" s="8" t="s">
        <v>5</v>
      </c>
      <c r="D2555" s="11" t="s">
        <v>7945</v>
      </c>
    </row>
    <row r="2556" spans="1:4" ht="30">
      <c r="A2556" s="5" t="str">
        <f>HYPERLINK("https://www.oit.va.gov/Services/TRM/ToolPage.aspx?tid=14104^","Free Disc Burner")</f>
        <v>Free Disc Burner</v>
      </c>
      <c r="B2556" s="4" t="s">
        <v>6633</v>
      </c>
      <c r="C2556" s="8" t="s">
        <v>5</v>
      </c>
      <c r="D2556" s="11" t="s">
        <v>7567</v>
      </c>
    </row>
    <row r="2557" spans="1:4" ht="30">
      <c r="A2557" s="5" t="str">
        <f>HYPERLINK("https://www.oit.va.gov/Services/TRM/ToolPage.aspx?tid=13966^","Free Video Flip and Rotate")</f>
        <v>Free Video Flip and Rotate</v>
      </c>
      <c r="B2557" s="4" t="s">
        <v>6633</v>
      </c>
      <c r="C2557" s="8" t="s">
        <v>5</v>
      </c>
      <c r="D2557" s="11" t="s">
        <v>7955</v>
      </c>
    </row>
    <row r="2558" spans="1:4" ht="30">
      <c r="A2558" s="5" t="str">
        <f>HYPERLINK("https://www.oit.va.gov/Services/TRM/ToolPage.aspx?tid=14000^","Free Video to Flash Converter")</f>
        <v>Free Video to Flash Converter</v>
      </c>
      <c r="B2558" s="4" t="s">
        <v>6633</v>
      </c>
      <c r="C2558" s="8" t="s">
        <v>5</v>
      </c>
      <c r="D2558" s="11" t="s">
        <v>2325</v>
      </c>
    </row>
    <row r="2559" spans="1:4" ht="30">
      <c r="A2559" s="5" t="str">
        <f>HYPERLINK("https://www.oit.va.gov/Services/TRM/ToolPage.aspx?tid=14436^","Free YouTube Download")</f>
        <v>Free YouTube Download</v>
      </c>
      <c r="B2559" s="4" t="s">
        <v>6633</v>
      </c>
      <c r="C2559" s="8" t="s">
        <v>5</v>
      </c>
      <c r="D2559" s="11" t="s">
        <v>5248</v>
      </c>
    </row>
    <row r="2560" spans="1:4" ht="30">
      <c r="A2560" s="5" t="str">
        <f>HYPERLINK("https://www.oit.va.gov/Services/TRM/ToolPage.aspx?tid=14501^","Free YouTube to iPod Converter")</f>
        <v>Free YouTube to iPod Converter</v>
      </c>
      <c r="B2560" s="4" t="s">
        <v>6633</v>
      </c>
      <c r="C2560" s="8" t="s">
        <v>5</v>
      </c>
      <c r="D2560" s="11" t="s">
        <v>7956</v>
      </c>
    </row>
    <row r="2561" spans="1:4" ht="30">
      <c r="A2561" s="5" t="str">
        <f>HYPERLINK("https://www.oit.va.gov/Services/TRM/ToolPage.aspx?tid=14539^","Free YouTube to MP3 Converter")</f>
        <v>Free YouTube to MP3 Converter</v>
      </c>
      <c r="B2561" s="4" t="s">
        <v>6633</v>
      </c>
      <c r="C2561" s="8" t="s">
        <v>5</v>
      </c>
      <c r="D2561" s="11" t="s">
        <v>6413</v>
      </c>
    </row>
    <row r="2562" spans="1:4" ht="30">
      <c r="A2562" s="5" t="str">
        <f>HYPERLINK("https://www.oit.va.gov/Services/TRM/ToolPage.aspx?tid=11741^","Encore Enterprise Workforce Optimization")</f>
        <v>Encore Enterprise Workforce Optimization</v>
      </c>
      <c r="B2562" s="4" t="s">
        <v>2543</v>
      </c>
      <c r="C2562" s="8" t="s">
        <v>5</v>
      </c>
      <c r="D2562" s="11" t="s">
        <v>2544</v>
      </c>
    </row>
    <row r="2563" spans="1:4" ht="30">
      <c r="A2563" s="5" t="str">
        <f>HYPERLINK("https://www.oit.va.gov/Services/TRM/ToolPage.aspx?tid=9674^","DXC Procurement Solution")</f>
        <v>DXC Procurement Solution</v>
      </c>
      <c r="B2563" s="4" t="s">
        <v>7818</v>
      </c>
      <c r="C2563" s="8" t="s">
        <v>5</v>
      </c>
      <c r="D2563" s="11" t="s">
        <v>395</v>
      </c>
    </row>
    <row r="2564" spans="1:4" ht="30">
      <c r="A2564" s="5" t="str">
        <f>HYPERLINK("https://www.oit.va.gov/Services/TRM/ToolPage.aspx?tid=12974^","Nik Collection")</f>
        <v>Nik Collection</v>
      </c>
      <c r="B2564" s="4" t="s">
        <v>5379</v>
      </c>
      <c r="C2564" s="8" t="s">
        <v>5</v>
      </c>
      <c r="D2564" s="11" t="s">
        <v>5380</v>
      </c>
    </row>
    <row r="2565" spans="1:4" ht="30">
      <c r="A2565" s="5" t="str">
        <f>HYPERLINK("https://www.oit.va.gov/Services/TRM/ToolPage.aspx?tid=16814^","Long Path Tool")</f>
        <v>Long Path Tool</v>
      </c>
      <c r="B2565" s="4" t="s">
        <v>1035</v>
      </c>
      <c r="C2565" s="8" t="s">
        <v>5</v>
      </c>
      <c r="D2565" s="11" t="s">
        <v>1036</v>
      </c>
    </row>
    <row r="2566" spans="1:4" ht="30">
      <c r="A2566" s="5" t="str">
        <f>HYPERLINK("https://www.oit.va.gov/Services/TRM/ToolPage.aspx?tid=8341^","DYMO Label Software")</f>
        <v>DYMO Label Software</v>
      </c>
      <c r="B2566" s="4" t="s">
        <v>1509</v>
      </c>
      <c r="C2566" s="8" t="s">
        <v>5</v>
      </c>
      <c r="D2566" s="11" t="s">
        <v>1510</v>
      </c>
    </row>
    <row r="2567" spans="1:4" ht="30">
      <c r="A2567" s="5" t="str">
        <f>HYPERLINK("https://www.oit.va.gov/Services/TRM/ToolPage.aspx?tid=14252^","DYMO Connect for Desktop")</f>
        <v>DYMO Connect for Desktop</v>
      </c>
      <c r="B2567" s="4" t="s">
        <v>1509</v>
      </c>
      <c r="C2567" s="8" t="s">
        <v>5</v>
      </c>
      <c r="D2567" s="11" t="s">
        <v>4053</v>
      </c>
    </row>
    <row r="2568" spans="1:4" ht="30">
      <c r="A2568" s="5" t="str">
        <f>HYPERLINK("https://www.oit.va.gov/Services/TRM/ToolPage.aspx?tid=15188^","DYMO ID")</f>
        <v>DYMO ID</v>
      </c>
      <c r="B2568" s="4" t="s">
        <v>1509</v>
      </c>
      <c r="C2568" s="8" t="s">
        <v>5</v>
      </c>
      <c r="D2568" s="11" t="s">
        <v>4054</v>
      </c>
    </row>
    <row r="2569" spans="1:4" ht="30">
      <c r="A2569" s="5" t="str">
        <f>HYPERLINK("https://www.oit.va.gov/Services/TRM/ToolPage.aspx?tid=14500^","Dymo File")</f>
        <v>Dymo File</v>
      </c>
      <c r="B2569" s="4" t="s">
        <v>1509</v>
      </c>
      <c r="C2569" s="8" t="s">
        <v>5</v>
      </c>
      <c r="D2569" s="11" t="s">
        <v>7819</v>
      </c>
    </row>
    <row r="2570" spans="1:4" ht="30">
      <c r="A2570" s="5" t="str">
        <f>HYPERLINK("https://www.oit.va.gov/Services/TRM/ToolPage.aspx?tid=11597^","Dynamic Web TWAIN (DWT)")</f>
        <v>Dynamic Web TWAIN (DWT)</v>
      </c>
      <c r="B2570" s="4" t="s">
        <v>662</v>
      </c>
      <c r="C2570" s="8" t="s">
        <v>5</v>
      </c>
      <c r="D2570" s="11" t="s">
        <v>663</v>
      </c>
    </row>
    <row r="2571" spans="1:4" ht="30">
      <c r="A2571" s="5" t="str">
        <f>HYPERLINK("https://www.oit.va.gov/Services/TRM/ToolPage.aspx?tid=10336^","VitalsBridge Connector")</f>
        <v>VitalsBridge Connector</v>
      </c>
      <c r="B2571" s="4" t="s">
        <v>4973</v>
      </c>
      <c r="C2571" s="8" t="s">
        <v>5</v>
      </c>
      <c r="D2571" s="11" t="s">
        <v>4974</v>
      </c>
    </row>
    <row r="2572" spans="1:4" ht="30">
      <c r="A2572" s="5" t="str">
        <f>HYPERLINK("https://www.oit.va.gov/Services/TRM/ToolPage.aspx?tid=9333^","Touch Information Presentation Software (TIPS) for Windows")</f>
        <v>Touch Information Presentation Software (TIPS) for Windows</v>
      </c>
      <c r="B2572" s="4" t="s">
        <v>8824</v>
      </c>
      <c r="C2572" s="8" t="s">
        <v>5</v>
      </c>
      <c r="D2572" s="11" t="s">
        <v>4755</v>
      </c>
    </row>
    <row r="2573" spans="1:4" ht="30">
      <c r="A2573" s="5" t="str">
        <f>HYPERLINK("https://www.oit.va.gov/Services/TRM/ToolPage.aspx?tid=13956^","Dynatrace Managed")</f>
        <v>Dynatrace Managed</v>
      </c>
      <c r="B2573" s="4" t="s">
        <v>1515</v>
      </c>
      <c r="C2573" s="8" t="s">
        <v>5</v>
      </c>
      <c r="D2573" s="11" t="s">
        <v>1402</v>
      </c>
    </row>
    <row r="2574" spans="1:4" ht="30">
      <c r="A2574" s="5" t="str">
        <f>HYPERLINK("https://www.oit.va.gov/Services/TRM/ToolPage.aspx?tid=14285^","DynaTrace OneAgent")</f>
        <v>DynaTrace OneAgent</v>
      </c>
      <c r="B2574" s="4" t="s">
        <v>1515</v>
      </c>
      <c r="C2574" s="8" t="s">
        <v>5</v>
      </c>
      <c r="D2574" s="11" t="s">
        <v>1516</v>
      </c>
    </row>
    <row r="2575" spans="1:4" ht="30">
      <c r="A2575" s="5" t="str">
        <f>HYPERLINK("https://www.oit.va.gov/Services/TRM/ToolPage.aspx?tid=14986^","Dynatrace Synthethic Recorder")</f>
        <v>Dynatrace Synthethic Recorder</v>
      </c>
      <c r="B2575" s="4" t="s">
        <v>1515</v>
      </c>
      <c r="C2575" s="8" t="s">
        <v>5</v>
      </c>
      <c r="D2575" s="11" t="s">
        <v>1517</v>
      </c>
    </row>
    <row r="2576" spans="1:4" ht="30">
      <c r="A2576" s="5" t="str">
        <f>HYPERLINK("https://www.oit.va.gov/Services/TRM/ToolPage.aspx?tid=11027^","Dyslexie Font")</f>
        <v>Dyslexie Font</v>
      </c>
      <c r="B2576" s="4" t="s">
        <v>3269</v>
      </c>
      <c r="C2576" s="8" t="s">
        <v>5</v>
      </c>
      <c r="D2576" s="11" t="s">
        <v>3270</v>
      </c>
    </row>
    <row r="2577" spans="1:4" ht="30">
      <c r="A2577" s="5" t="str">
        <f>HYPERLINK("https://www.oit.va.gov/Services/TRM/ToolPage.aspx?tid=12957^","Virtual Sound Card (VSC)")</f>
        <v>Virtual Sound Card (VSC)</v>
      </c>
      <c r="B2577" s="4" t="s">
        <v>8881</v>
      </c>
      <c r="C2577" s="8" t="s">
        <v>5</v>
      </c>
      <c r="D2577" s="11" t="s">
        <v>3823</v>
      </c>
    </row>
    <row r="2578" spans="1:4" ht="30">
      <c r="A2578" s="5" t="str">
        <f>HYPERLINK("https://www.oit.va.gov/Services/TRM/ToolPage.aspx?tid=11039^","Eagle6")</f>
        <v>Eagle6</v>
      </c>
      <c r="B2578" s="4" t="s">
        <v>1518</v>
      </c>
      <c r="C2578" s="8" t="s">
        <v>5</v>
      </c>
      <c r="D2578" s="11" t="s">
        <v>1519</v>
      </c>
    </row>
    <row r="2579" spans="1:4" ht="30">
      <c r="A2579" s="5" t="str">
        <f>HYPERLINK("https://www.oit.va.gov/Services/TRM/ToolPage.aspx?tid=16699^","Eye Surface Profiler (ESP)")</f>
        <v>Eye Surface Profiler (ESP)</v>
      </c>
      <c r="B2579" s="4" t="s">
        <v>2578</v>
      </c>
      <c r="C2579" s="8" t="s">
        <v>5</v>
      </c>
      <c r="D2579" s="11" t="s">
        <v>2579</v>
      </c>
    </row>
    <row r="2580" spans="1:4" ht="30">
      <c r="A2580" s="5" t="str">
        <f>HYPERLINK("https://www.oit.va.gov/Services/TRM/ToolPage.aspx?tid=6602^","Minimalist GNU for Windows (MinGW)")</f>
        <v>Minimalist GNU for Windows (MinGW)</v>
      </c>
      <c r="B2580" s="4" t="s">
        <v>763</v>
      </c>
      <c r="C2580" s="8" t="s">
        <v>5</v>
      </c>
      <c r="D2580" s="11" t="s">
        <v>764</v>
      </c>
    </row>
    <row r="2581" spans="1:4" ht="30">
      <c r="A2581" s="5" t="str">
        <f>HYPERLINK("https://www.oit.va.gov/Services/TRM/ToolPage.aspx?tid=10313^","EQuiS Professional")</f>
        <v>EQuiS Professional</v>
      </c>
      <c r="B2581" s="4" t="s">
        <v>6584</v>
      </c>
      <c r="C2581" s="8" t="s">
        <v>5</v>
      </c>
      <c r="D2581" s="11" t="s">
        <v>6585</v>
      </c>
    </row>
    <row r="2582" spans="1:4" ht="30">
      <c r="A2582" s="5" t="str">
        <f>HYPERLINK("https://www.oit.va.gov/Services/TRM/ToolPage.aspx?tid=15467^","EaseUS Partition Master")</f>
        <v>EaseUS Partition Master</v>
      </c>
      <c r="B2582" s="4" t="s">
        <v>4056</v>
      </c>
      <c r="C2582" s="8" t="s">
        <v>5</v>
      </c>
      <c r="D2582" s="11" t="s">
        <v>4057</v>
      </c>
    </row>
    <row r="2583" spans="1:4" ht="30">
      <c r="A2583" s="5" t="str">
        <f>HYPERLINK("https://www.oit.va.gov/Services/TRM/ToolPage.aspx?tid=15428^","EaseUS MobiSaver")</f>
        <v>EaseUS MobiSaver</v>
      </c>
      <c r="B2583" s="4" t="s">
        <v>4056</v>
      </c>
      <c r="C2583" s="8" t="s">
        <v>5</v>
      </c>
      <c r="D2583" s="11" t="s">
        <v>6557</v>
      </c>
    </row>
    <row r="2584" spans="1:4" ht="30">
      <c r="A2584" s="5" t="str">
        <f>HYPERLINK("https://www.oit.va.gov/Services/TRM/ToolPage.aspx?tid=14075^","Data Recovery Wizard")</f>
        <v>Data Recovery Wizard</v>
      </c>
      <c r="B2584" s="4" t="s">
        <v>4056</v>
      </c>
      <c r="C2584" s="8" t="s">
        <v>5</v>
      </c>
      <c r="D2584" s="11" t="s">
        <v>7732</v>
      </c>
    </row>
    <row r="2585" spans="1:4" ht="30">
      <c r="A2585" s="5" t="str">
        <f>HYPERLINK("https://www.oit.va.gov/Services/TRM/ToolPage.aspx?tid=11016^","Easy Sketch Pro")</f>
        <v>Easy Sketch Pro</v>
      </c>
      <c r="B2585" s="4" t="s">
        <v>7827</v>
      </c>
      <c r="C2585" s="8" t="s">
        <v>5</v>
      </c>
      <c r="D2585" s="11" t="s">
        <v>3083</v>
      </c>
    </row>
    <row r="2586" spans="1:4" ht="30">
      <c r="A2586" s="5" t="str">
        <f>HYPERLINK("https://www.oit.va.gov/Services/TRM/ToolPage.aspx?tid=8215^","EasyWorship")</f>
        <v>EasyWorship</v>
      </c>
      <c r="B2586" s="4" t="s">
        <v>2529</v>
      </c>
      <c r="C2586" s="8" t="s">
        <v>5</v>
      </c>
      <c r="D2586" s="11" t="s">
        <v>395</v>
      </c>
    </row>
    <row r="2587" spans="1:4" ht="30">
      <c r="A2587" s="5" t="str">
        <f>HYPERLINK("https://www.oit.va.gov/Services/TRM/ToolPage.aspx?tid=14228^","EasyPower Arc Flash Analysis")</f>
        <v>EasyPower Arc Flash Analysis</v>
      </c>
      <c r="B2587" s="4" t="s">
        <v>2527</v>
      </c>
      <c r="C2587" s="8" t="s">
        <v>5</v>
      </c>
      <c r="D2587" s="11" t="s">
        <v>2528</v>
      </c>
    </row>
    <row r="2588" spans="1:4" ht="30">
      <c r="A2588" s="5" t="str">
        <f>HYPERLINK("https://www.oit.va.gov/Services/TRM/ToolPage.aspx?tid=13171^","Eaton Intelligent Power Manager (IPM) Software")</f>
        <v>Eaton Intelligent Power Manager (IPM) Software</v>
      </c>
      <c r="B2588" s="4" t="s">
        <v>4061</v>
      </c>
      <c r="C2588" s="8" t="s">
        <v>5</v>
      </c>
      <c r="D2588" s="11" t="s">
        <v>4062</v>
      </c>
    </row>
    <row r="2589" spans="1:4" ht="30">
      <c r="A2589" s="5" t="str">
        <f>HYPERLINK("https://www.oit.va.gov/Services/TRM/ToolPage.aspx?tid=12932^","Selenium WebDriver PhantomJS cross platform")</f>
        <v>Selenium WebDriver PhantomJS cross platform</v>
      </c>
      <c r="B2589" s="4" t="s">
        <v>1248</v>
      </c>
      <c r="C2589" s="8" t="s">
        <v>5</v>
      </c>
      <c r="D2589" s="11" t="s">
        <v>1249</v>
      </c>
    </row>
    <row r="2590" spans="1:4" ht="30">
      <c r="A2590" s="5" t="str">
        <f>HYPERLINK("https://www.oit.va.gov/Services/TRM/ToolPage.aspx?tid=10053^","eBLVD")</f>
        <v>eBLVD</v>
      </c>
      <c r="B2590" s="4" t="s">
        <v>7831</v>
      </c>
      <c r="C2590" s="8" t="s">
        <v>5</v>
      </c>
      <c r="D2590" s="11" t="s">
        <v>7832</v>
      </c>
    </row>
    <row r="2591" spans="1:4" ht="30">
      <c r="A2591" s="5" t="str">
        <f>HYPERLINK("https://www.oit.va.gov/Services/TRM/ToolPage.aspx?tid=13969^","DynaMed")</f>
        <v>DynaMed</v>
      </c>
      <c r="B2591" s="4" t="s">
        <v>5782</v>
      </c>
      <c r="C2591" s="8" t="s">
        <v>5</v>
      </c>
      <c r="D2591" s="11" t="s">
        <v>1514</v>
      </c>
    </row>
    <row r="2592" spans="1:4" ht="30">
      <c r="A2592" s="5" t="str">
        <f>HYPERLINK("https://www.oit.va.gov/Services/TRM/ToolPage.aspx?tid=7923^","BioDose")</f>
        <v>BioDose</v>
      </c>
      <c r="B2592" s="4" t="s">
        <v>1363</v>
      </c>
      <c r="C2592" s="8" t="s">
        <v>5</v>
      </c>
      <c r="D2592" s="11" t="s">
        <v>897</v>
      </c>
    </row>
    <row r="2593" spans="1:4" ht="30">
      <c r="A2593" s="5" t="str">
        <f>HYPERLINK("https://www.oit.va.gov/Services/TRM/ToolPage.aspx?tid=6163^","PointSolutions")</f>
        <v>PointSolutions</v>
      </c>
      <c r="B2593" s="4" t="s">
        <v>4615</v>
      </c>
      <c r="C2593" s="8" t="s">
        <v>5</v>
      </c>
      <c r="D2593" s="11" t="s">
        <v>4537</v>
      </c>
    </row>
    <row r="2594" spans="1:4" ht="30">
      <c r="A2594" s="5" t="str">
        <f>HYPERLINK("https://www.oit.va.gov/Services/TRM/ToolPage.aspx?tid=16146^","OpenTAXII")</f>
        <v>OpenTAXII</v>
      </c>
      <c r="B2594" s="4" t="s">
        <v>4554</v>
      </c>
      <c r="C2594" s="8" t="s">
        <v>5</v>
      </c>
      <c r="D2594" s="11" t="s">
        <v>2926</v>
      </c>
    </row>
    <row r="2595" spans="1:4" ht="30">
      <c r="A2595" s="5" t="str">
        <f>HYPERLINK("https://www.oit.va.gov/Services/TRM/ToolPage.aspx?tid=1346^","Business Intelligence and Reporting Tools (BIRT)")</f>
        <v>Business Intelligence and Reporting Tools (BIRT)</v>
      </c>
      <c r="B2595" s="4" t="s">
        <v>600</v>
      </c>
      <c r="C2595" s="8" t="s">
        <v>5</v>
      </c>
      <c r="D2595" s="11" t="s">
        <v>601</v>
      </c>
    </row>
    <row r="2596" spans="1:4" ht="30">
      <c r="A2596" s="5" t="str">
        <f>HYPERLINK("https://www.oit.va.gov/Services/TRM/ToolPage.aspx?tid=6316^","Eclipse Integrated Development Environment (IDE)")</f>
        <v>Eclipse Integrated Development Environment (IDE)</v>
      </c>
      <c r="B2596" s="4" t="s">
        <v>600</v>
      </c>
      <c r="C2596" s="8" t="s">
        <v>5</v>
      </c>
      <c r="D2596" s="11" t="s">
        <v>667</v>
      </c>
    </row>
    <row r="2597" spans="1:4" ht="30">
      <c r="A2597" s="5" t="str">
        <f>HYPERLINK("https://www.oit.va.gov/Services/TRM/ToolPage.aspx?tid=5013^","Eclipse Modeling Framework (EMF)")</f>
        <v>Eclipse Modeling Framework (EMF)</v>
      </c>
      <c r="B2597" s="4" t="s">
        <v>600</v>
      </c>
      <c r="C2597" s="8" t="s">
        <v>5</v>
      </c>
      <c r="D2597" s="11" t="s">
        <v>668</v>
      </c>
    </row>
    <row r="2598" spans="1:4" ht="30">
      <c r="A2598" s="5" t="str">
        <f>HYPERLINK("https://www.oit.va.gov/Services/TRM/ToolPage.aspx?tid=6325^","Jetty")</f>
        <v>Jetty</v>
      </c>
      <c r="B2598" s="4" t="s">
        <v>600</v>
      </c>
      <c r="C2598" s="8" t="s">
        <v>5</v>
      </c>
      <c r="D2598" s="11" t="s">
        <v>1673</v>
      </c>
    </row>
    <row r="2599" spans="1:4" ht="30">
      <c r="A2599" s="5" t="str">
        <f>HYPERLINK("https://www.oit.va.gov/Services/TRM/ToolPage.aspx?tid=6416^","Accessibility Tools Framework (ACTF) aDesigner")</f>
        <v>Accessibility Tools Framework (ACTF) aDesigner</v>
      </c>
      <c r="B2599" s="4" t="s">
        <v>600</v>
      </c>
      <c r="C2599" s="8" t="s">
        <v>5</v>
      </c>
      <c r="D2599" s="11" t="s">
        <v>284</v>
      </c>
    </row>
    <row r="2600" spans="1:4" ht="30">
      <c r="A2600" s="5" t="str">
        <f>HYPERLINK("https://www.oit.va.gov/Services/TRM/ToolPage.aspx?tid=155^","AspectJ")</f>
        <v>AspectJ</v>
      </c>
      <c r="B2600" s="4" t="s">
        <v>600</v>
      </c>
      <c r="C2600" s="8" t="s">
        <v>5</v>
      </c>
      <c r="D2600" s="11" t="s">
        <v>2387</v>
      </c>
    </row>
    <row r="2601" spans="1:4" ht="30">
      <c r="A2601" s="5" t="str">
        <f>HYPERLINK("https://www.oit.va.gov/Services/TRM/ToolPage.aspx?tid=5138^","Eclipse Web Tools Platform (WTP)")</f>
        <v>Eclipse Web Tools Platform (WTP)</v>
      </c>
      <c r="B2601" s="4" t="s">
        <v>600</v>
      </c>
      <c r="C2601" s="8" t="s">
        <v>5</v>
      </c>
      <c r="D2601" s="11" t="s">
        <v>2532</v>
      </c>
    </row>
    <row r="2602" spans="1:4" ht="30">
      <c r="A2602" s="5" t="str">
        <f>HYPERLINK("https://www.oit.va.gov/Services/TRM/ToolPage.aspx?tid=6395^","EGit")</f>
        <v>EGit</v>
      </c>
      <c r="B2602" s="4" t="s">
        <v>600</v>
      </c>
      <c r="C2602" s="8" t="s">
        <v>5</v>
      </c>
      <c r="D2602" s="11" t="s">
        <v>297</v>
      </c>
    </row>
    <row r="2603" spans="1:4" ht="30">
      <c r="A2603" s="5" t="str">
        <f>HYPERLINK("https://www.oit.va.gov/Services/TRM/ToolPage.aspx?tid=6270^","Maven Integration for Eclipse (M2Eclipse)")</f>
        <v>Maven Integration for Eclipse (M2Eclipse)</v>
      </c>
      <c r="B2603" s="4" t="s">
        <v>600</v>
      </c>
      <c r="C2603" s="8" t="s">
        <v>5</v>
      </c>
      <c r="D2603" s="11" t="s">
        <v>6197</v>
      </c>
    </row>
    <row r="2604" spans="1:4" ht="30">
      <c r="A2604" s="5" t="str">
        <f>HYPERLINK("https://www.oit.va.gov/Services/TRM/ToolPage.aspx?tid=14167^","Eclipse Temurin")</f>
        <v>Eclipse Temurin</v>
      </c>
      <c r="B2604" s="4" t="s">
        <v>600</v>
      </c>
      <c r="C2604" s="8" t="s">
        <v>5</v>
      </c>
      <c r="D2604" s="11" t="s">
        <v>6560</v>
      </c>
    </row>
    <row r="2605" spans="1:4" ht="30">
      <c r="A2605" s="5" t="str">
        <f>HYPERLINK("https://www.oit.va.gov/Services/TRM/ToolPage.aspx?tid=7191^","Jersey")</f>
        <v>Jersey</v>
      </c>
      <c r="B2605" s="4" t="s">
        <v>4307</v>
      </c>
      <c r="C2605" s="8" t="s">
        <v>5</v>
      </c>
      <c r="D2605" s="11" t="s">
        <v>4308</v>
      </c>
    </row>
    <row r="2606" spans="1:4" ht="30">
      <c r="A2606" s="5" t="str">
        <f>HYPERLINK("https://www.oit.va.gov/Services/TRM/ToolPage.aspx?tid=16632^","Eclipse Memory Analyzer")</f>
        <v>Eclipse Memory Analyzer</v>
      </c>
      <c r="B2606" s="4" t="s">
        <v>4307</v>
      </c>
      <c r="C2606" s="8" t="s">
        <v>5</v>
      </c>
      <c r="D2606" s="11" t="s">
        <v>5784</v>
      </c>
    </row>
    <row r="2607" spans="1:4" ht="30">
      <c r="A2607" s="5" t="str">
        <f>HYPERLINK("https://www.oit.va.gov/Services/TRM/ToolPage.aspx?tid=6563^","GlassFish")</f>
        <v>GlassFish</v>
      </c>
      <c r="B2607" s="4" t="s">
        <v>4307</v>
      </c>
      <c r="C2607" s="8" t="s">
        <v>5</v>
      </c>
      <c r="D2607" s="11" t="s">
        <v>5828</v>
      </c>
    </row>
    <row r="2608" spans="1:4" ht="30">
      <c r="A2608" s="5" t="str">
        <f>HYPERLINK("https://www.oit.va.gov/Services/TRM/ToolPage.aspx?tid=15342^","Eclipse Che")</f>
        <v>Eclipse Che</v>
      </c>
      <c r="B2608" s="4" t="s">
        <v>4307</v>
      </c>
      <c r="C2608" s="8" t="s">
        <v>5</v>
      </c>
      <c r="D2608" s="11" t="s">
        <v>6558</v>
      </c>
    </row>
    <row r="2609" spans="1:4" ht="30">
      <c r="A2609" s="5" t="str">
        <f>HYPERLINK("https://www.oit.va.gov/Services/TRM/ToolPage.aspx?tid=8314^","Hudson Continuous Integration (CI)")</f>
        <v>Hudson Continuous Integration (CI)</v>
      </c>
      <c r="B2609" s="4" t="s">
        <v>4307</v>
      </c>
      <c r="C2609" s="8" t="s">
        <v>5</v>
      </c>
      <c r="D2609" s="11" t="s">
        <v>5244</v>
      </c>
    </row>
    <row r="2610" spans="1:4" ht="30">
      <c r="A2610" s="5" t="str">
        <f>HYPERLINK("https://www.oit.va.gov/Services/TRM/ToolPage.aspx?tid=15703^","The Connector - Microsoft Project to Atlassian Jira Integration")</f>
        <v>The Connector - Microsoft Project to Atlassian Jira Integration</v>
      </c>
      <c r="B2610" s="4" t="s">
        <v>1114</v>
      </c>
      <c r="C2610" s="8" t="s">
        <v>5</v>
      </c>
      <c r="D2610" s="11" t="s">
        <v>1115</v>
      </c>
    </row>
    <row r="2611" spans="1:4" ht="30">
      <c r="A2611" s="5" t="str">
        <f>HYPERLINK("https://www.oit.va.gov/Services/TRM/StandardPage.aspx?tid=6312^","C# Programming Language")</f>
        <v>C# Programming Language</v>
      </c>
      <c r="B2611" s="4" t="s">
        <v>6371</v>
      </c>
      <c r="C2611" s="8" t="s">
        <v>5</v>
      </c>
      <c r="D2611" s="11" t="s">
        <v>6372</v>
      </c>
    </row>
    <row r="2612" spans="1:4" ht="30">
      <c r="A2612" s="5" t="str">
        <f>HYPERLINK("https://www.oit.va.gov/Services/TRM/StandardPage.aspx?tid=5198^","Common Language Infrastructure (CLI)")</f>
        <v>Common Language Infrastructure (CLI)</v>
      </c>
      <c r="B2612" s="4" t="s">
        <v>6371</v>
      </c>
      <c r="C2612" s="8" t="s">
        <v>5</v>
      </c>
      <c r="D2612" s="11" t="s">
        <v>2133</v>
      </c>
    </row>
    <row r="2613" spans="1:4" ht="30">
      <c r="A2613" s="5" t="str">
        <f>HYPERLINK("https://www.oit.va.gov/Services/TRM/StandardPage.aspx?tid=5061^","JavaScript")</f>
        <v>JavaScript</v>
      </c>
      <c r="B2613" s="4" t="s">
        <v>6371</v>
      </c>
      <c r="C2613" s="8" t="s">
        <v>5</v>
      </c>
      <c r="D2613" s="11" t="s">
        <v>90</v>
      </c>
    </row>
    <row r="2614" spans="1:4" ht="30">
      <c r="A2614" s="5" t="str">
        <f>HYPERLINK("https://www.oit.va.gov/Services/TRM/StandardPage.aspx?tid=7349^","JavaScript Object Notation Data Interchange Standard (JSON)")</f>
        <v>JavaScript Object Notation Data Interchange Standard (JSON)</v>
      </c>
      <c r="B2614" s="4" t="s">
        <v>6747</v>
      </c>
      <c r="C2614" s="8" t="s">
        <v>5</v>
      </c>
      <c r="D2614" s="11" t="s">
        <v>703</v>
      </c>
    </row>
    <row r="2615" spans="1:4" ht="30">
      <c r="A2615" s="5" t="str">
        <f>HYPERLINK("https://www.oit.va.gov/Services/TRM/ToolPage.aspx?tid=15885^","FusionLive")</f>
        <v>FusionLive</v>
      </c>
      <c r="B2615" s="4" t="s">
        <v>4168</v>
      </c>
      <c r="C2615" s="8" t="s">
        <v>5</v>
      </c>
      <c r="D2615" s="11" t="s">
        <v>2898</v>
      </c>
    </row>
    <row r="2616" spans="1:4" ht="30">
      <c r="A2616" s="5" t="str">
        <f>HYPERLINK("https://www.oit.va.gov/Services/TRM/ToolPage.aspx?tid=14296^","edgeCore")</f>
        <v>edgeCore</v>
      </c>
      <c r="B2616" s="4" t="s">
        <v>1523</v>
      </c>
      <c r="C2616" s="8" t="s">
        <v>5</v>
      </c>
      <c r="D2616" s="11" t="s">
        <v>1524</v>
      </c>
    </row>
    <row r="2617" spans="1:4" ht="30">
      <c r="A2617" s="5" t="str">
        <f>HYPERLINK("https://www.oit.va.gov/Services/TRM/ToolPage.aspx?tid=6956^","Edge Technologies AppBoard")</f>
        <v>Edge Technologies AppBoard</v>
      </c>
      <c r="B2617" s="4" t="s">
        <v>1523</v>
      </c>
      <c r="C2617" s="8" t="s">
        <v>5</v>
      </c>
      <c r="D2617" s="11" t="s">
        <v>3272</v>
      </c>
    </row>
    <row r="2618" spans="1:4" ht="30">
      <c r="A2618" s="5" t="str">
        <f>HYPERLINK("https://www.oit.va.gov/Services/TRM/ToolPage.aspx?tid=6957^","EnPortal")</f>
        <v>EnPortal</v>
      </c>
      <c r="B2618" s="4" t="s">
        <v>1523</v>
      </c>
      <c r="C2618" s="8" t="s">
        <v>5</v>
      </c>
      <c r="D2618" s="11" t="s">
        <v>1600</v>
      </c>
    </row>
    <row r="2619" spans="1:4" ht="30">
      <c r="A2619" s="5" t="str">
        <f>HYPERLINK("https://www.oit.va.gov/Services/TRM/ToolPage.aspx?tid=15007^","ediFabric")</f>
        <v>ediFabric</v>
      </c>
      <c r="B2619" s="4" t="s">
        <v>296</v>
      </c>
      <c r="C2619" s="8" t="s">
        <v>5</v>
      </c>
      <c r="D2619" s="11" t="s">
        <v>297</v>
      </c>
    </row>
    <row r="2620" spans="1:4" ht="30">
      <c r="A2620" s="5" t="str">
        <f>HYPERLINK("https://www.oit.va.gov/Services/TRM/ToolPage.aspx?tid=15925^","Operating Rules")</f>
        <v>Operating Rules</v>
      </c>
      <c r="B2620" s="4" t="s">
        <v>1806</v>
      </c>
      <c r="C2620" s="8" t="s">
        <v>5</v>
      </c>
      <c r="D2620" s="11" t="s">
        <v>1807</v>
      </c>
    </row>
    <row r="2621" spans="1:4" ht="30">
      <c r="A2621" s="5" t="str">
        <f>HYPERLINK("https://www.oit.va.gov/Services/TRM/ToolPage.aspx?tid=15927^","Transaction Management")</f>
        <v>Transaction Management</v>
      </c>
      <c r="B2621" s="4" t="s">
        <v>1806</v>
      </c>
      <c r="C2621" s="8" t="s">
        <v>5</v>
      </c>
      <c r="D2621" s="11" t="s">
        <v>2001</v>
      </c>
    </row>
    <row r="2622" spans="1:4" ht="30">
      <c r="A2622" s="5" t="str">
        <f>HYPERLINK("https://www.oit.va.gov/Services/TRM/ToolPage.aspx?tid=16844^","SpecBuilder")</f>
        <v>SpecBuilder</v>
      </c>
      <c r="B2622" s="4" t="s">
        <v>1806</v>
      </c>
      <c r="C2622" s="8" t="s">
        <v>5</v>
      </c>
      <c r="D2622" s="11" t="s">
        <v>2981</v>
      </c>
    </row>
    <row r="2623" spans="1:4" ht="30">
      <c r="A2623" s="5" t="str">
        <f>HYPERLINK("https://www.oit.va.gov/Services/TRM/ToolPage.aspx?tid=15915^","XEngine Server")</f>
        <v>XEngine Server</v>
      </c>
      <c r="B2623" s="4" t="s">
        <v>1806</v>
      </c>
      <c r="C2623" s="8" t="s">
        <v>5</v>
      </c>
      <c r="D2623" s="11" t="s">
        <v>5004</v>
      </c>
    </row>
    <row r="2624" spans="1:4" ht="30">
      <c r="A2624" s="5" t="str">
        <f>HYPERLINK("https://www.oit.va.gov/Services/TRM/ToolPage.aspx?tid=15937^","XEngine Server Manager")</f>
        <v>XEngine Server Manager</v>
      </c>
      <c r="B2624" s="4" t="s">
        <v>1806</v>
      </c>
      <c r="C2624" s="8" t="s">
        <v>5</v>
      </c>
      <c r="D2624" s="11" t="s">
        <v>5005</v>
      </c>
    </row>
    <row r="2625" spans="1:4" ht="30">
      <c r="A2625" s="5" t="str">
        <f>HYPERLINK("https://www.oit.va.gov/Services/TRM/ToolPage.aspx?tid=14676^","EditPlus")</f>
        <v>EditPlus</v>
      </c>
      <c r="B2625" s="4" t="s">
        <v>4067</v>
      </c>
      <c r="C2625" s="8" t="s">
        <v>5</v>
      </c>
      <c r="D2625" s="11" t="s">
        <v>4068</v>
      </c>
    </row>
    <row r="2626" spans="1:4" ht="30">
      <c r="A2626" s="5" t="str">
        <f>HYPERLINK("https://www.oit.va.gov/Services/TRM/ToolPage.aspx?tid=9718^","SIMULATIONiQ Enterprise")</f>
        <v>SIMULATIONiQ Enterprise</v>
      </c>
      <c r="B2626" s="4" t="s">
        <v>2955</v>
      </c>
      <c r="C2626" s="8" t="s">
        <v>5</v>
      </c>
      <c r="D2626" s="11" t="s">
        <v>2956</v>
      </c>
    </row>
    <row r="2627" spans="1:4" ht="30">
      <c r="A2627" s="5" t="str">
        <f>HYPERLINK("https://www.oit.va.gov/Services/TRM/ToolPage.aspx?tid=5884^","MyAthens Toolbar")</f>
        <v>MyAthens Toolbar</v>
      </c>
      <c r="B2627" s="4" t="s">
        <v>6897</v>
      </c>
      <c r="C2627" s="8" t="s">
        <v>5</v>
      </c>
      <c r="D2627" s="11" t="s">
        <v>6191</v>
      </c>
    </row>
    <row r="2628" spans="1:4" ht="30">
      <c r="A2628" s="5" t="str">
        <f>HYPERLINK("https://www.oit.va.gov/Services/TRM/ToolPage.aspx?tid=13770^","FireWorks")</f>
        <v>FireWorks</v>
      </c>
      <c r="B2628" s="4" t="s">
        <v>2597</v>
      </c>
      <c r="C2628" s="8" t="s">
        <v>5</v>
      </c>
      <c r="D2628" s="11" t="s">
        <v>2598</v>
      </c>
    </row>
    <row r="2629" spans="1:4" ht="30">
      <c r="A2629" s="5" t="str">
        <f>HYPERLINK("https://www.oit.va.gov/Services/TRM/ToolPage.aspx?tid=7653^","Electronics For Imaging (EFI) Fiery Command Workstation")</f>
        <v>Electronics For Imaging (EFI) Fiery Command Workstation</v>
      </c>
      <c r="B2629" s="4" t="s">
        <v>671</v>
      </c>
      <c r="C2629" s="8" t="s">
        <v>5</v>
      </c>
      <c r="D2629" s="11" t="s">
        <v>672</v>
      </c>
    </row>
    <row r="2630" spans="1:4" ht="30">
      <c r="A2630" s="5" t="str">
        <f>HYPERLINK("https://www.oit.va.gov/Services/TRM/ToolPage.aspx?tid=7986^","Electronics For Imaging (EFI) Fiery eXpress")</f>
        <v>Electronics For Imaging (EFI) Fiery eXpress</v>
      </c>
      <c r="B2630" s="4" t="s">
        <v>671</v>
      </c>
      <c r="C2630" s="8" t="s">
        <v>5</v>
      </c>
      <c r="D2630" s="11" t="s">
        <v>2117</v>
      </c>
    </row>
    <row r="2631" spans="1:4" ht="30">
      <c r="A2631" s="5" t="str">
        <f>HYPERLINK("https://www.oit.va.gov/Services/TRM/ToolPage.aspx?tid=10906^","Electronics for Imaging (EFI) Fiery Remote Scan")</f>
        <v>Electronics for Imaging (EFI) Fiery Remote Scan</v>
      </c>
      <c r="B2631" s="4" t="s">
        <v>671</v>
      </c>
      <c r="C2631" s="8" t="s">
        <v>5</v>
      </c>
      <c r="D2631" s="11" t="s">
        <v>654</v>
      </c>
    </row>
    <row r="2632" spans="1:4" ht="30">
      <c r="A2632" s="5" t="str">
        <f>HYPERLINK("https://www.oit.va.gov/Services/TRM/ToolPage.aspx?tid=7655^","Electronics For Imaging (EFI) Fiery Impose")</f>
        <v>Electronics For Imaging (EFI) Fiery Impose</v>
      </c>
      <c r="B2632" s="4" t="s">
        <v>671</v>
      </c>
      <c r="C2632" s="8" t="s">
        <v>5</v>
      </c>
      <c r="D2632" s="11" t="s">
        <v>2541</v>
      </c>
    </row>
    <row r="2633" spans="1:4" ht="30">
      <c r="A2633" s="5" t="str">
        <f>HYPERLINK("https://www.oit.va.gov/Services/TRM/ToolPage.aspx?tid=14968^","ColorEditor")</f>
        <v>ColorEditor</v>
      </c>
      <c r="B2633" s="4" t="s">
        <v>671</v>
      </c>
      <c r="C2633" s="8" t="s">
        <v>5</v>
      </c>
      <c r="D2633" s="11" t="s">
        <v>3219</v>
      </c>
    </row>
    <row r="2634" spans="1:4" ht="30">
      <c r="A2634" s="5" t="str">
        <f>HYPERLINK("https://www.oit.va.gov/Services/TRM/ToolPage.aspx?tid=7987^","Electronics For Imaging (EFI) Fiery XF")</f>
        <v>Electronics For Imaging (EFI) Fiery XF</v>
      </c>
      <c r="B2634" s="4" t="s">
        <v>671</v>
      </c>
      <c r="C2634" s="8" t="s">
        <v>5</v>
      </c>
      <c r="D2634" s="11" t="s">
        <v>661</v>
      </c>
    </row>
    <row r="2635" spans="1:4" ht="30">
      <c r="A2635" s="5" t="str">
        <f>HYPERLINK("https://www.oit.va.gov/Services/TRM/ToolPage.aspx?tid=7662^","Electronics for Imaging (EFI) Fiery System Software for Digital Print Servers")</f>
        <v>Electronics for Imaging (EFI) Fiery System Software for Digital Print Servers</v>
      </c>
      <c r="B2635" s="4" t="s">
        <v>671</v>
      </c>
      <c r="C2635" s="8" t="s">
        <v>5</v>
      </c>
      <c r="D2635" s="11" t="s">
        <v>151</v>
      </c>
    </row>
    <row r="2636" spans="1:4" ht="30">
      <c r="A2636" s="5" t="str">
        <f>HYPERLINK("https://www.oit.va.gov/Services/TRM/ToolPage.aspx?tid=15284^","Fiery Spot Pro")</f>
        <v>Fiery Spot Pro</v>
      </c>
      <c r="B2636" s="4" t="s">
        <v>671</v>
      </c>
      <c r="C2636" s="8" t="s">
        <v>5</v>
      </c>
      <c r="D2636" s="11" t="s">
        <v>4009</v>
      </c>
    </row>
    <row r="2637" spans="1:4" ht="30">
      <c r="A2637" s="5" t="str">
        <f>HYPERLINK("https://www.oit.va.gov/Services/TRM/ToolPage.aspx?tid=10849^","Electronics for Imaging (EFI) MicroPress")</f>
        <v>Electronics for Imaging (EFI) MicroPress</v>
      </c>
      <c r="B2637" s="4" t="s">
        <v>671</v>
      </c>
      <c r="C2637" s="8" t="s">
        <v>5</v>
      </c>
      <c r="D2637" s="11" t="s">
        <v>5169</v>
      </c>
    </row>
    <row r="2638" spans="1:4" ht="30">
      <c r="A2638" s="5" t="str">
        <f>HYPERLINK("https://www.oit.va.gov/Services/TRM/ToolPage.aspx?tid=13948^","PrintMe")</f>
        <v>PrintMe</v>
      </c>
      <c r="B2638" s="4" t="s">
        <v>671</v>
      </c>
      <c r="C2638" s="8" t="s">
        <v>5</v>
      </c>
      <c r="D2638" s="11" t="s">
        <v>7950</v>
      </c>
    </row>
    <row r="2639" spans="1:4" ht="30">
      <c r="A2639" s="5" t="str">
        <f>HYPERLINK("https://www.oit.va.gov/Services/TRM/ToolPage.aspx?tid=15049^","eG Enterprise")</f>
        <v>eG Enterprise</v>
      </c>
      <c r="B2639" s="4" t="s">
        <v>5165</v>
      </c>
      <c r="C2639" s="8" t="s">
        <v>5</v>
      </c>
      <c r="D2639" s="11" t="s">
        <v>5166</v>
      </c>
    </row>
    <row r="2640" spans="1:4" ht="30">
      <c r="A2640" s="5" t="str">
        <f>HYPERLINK("https://www.oit.va.gov/Services/TRM/ToolPage.aspx?tid=5521^","eGain Knowledge+AI")</f>
        <v>eGain Knowledge+AI</v>
      </c>
      <c r="B2640" s="4" t="s">
        <v>4069</v>
      </c>
      <c r="C2640" s="8" t="s">
        <v>5</v>
      </c>
      <c r="D2640" s="11" t="s">
        <v>2598</v>
      </c>
    </row>
    <row r="2641" spans="1:4" ht="30">
      <c r="A2641" s="5" t="str">
        <f>HYPERLINK("https://www.oit.va.gov/Services/TRM/ToolPage.aspx?tid=8213^","eGain Analytics")</f>
        <v>eGain Analytics</v>
      </c>
      <c r="B2641" s="4" t="s">
        <v>4069</v>
      </c>
      <c r="C2641" s="8" t="s">
        <v>5</v>
      </c>
      <c r="D2641" s="11" t="s">
        <v>2185</v>
      </c>
    </row>
    <row r="2642" spans="1:4" ht="30">
      <c r="A2642" s="5" t="str">
        <f>HYPERLINK("https://www.oit.va.gov/Services/TRM/ToolPage.aspx?tid=7121^","eGain Chat")</f>
        <v>eGain Chat</v>
      </c>
      <c r="B2642" s="4" t="s">
        <v>4069</v>
      </c>
      <c r="C2642" s="8" t="s">
        <v>5</v>
      </c>
      <c r="D2642" s="11" t="s">
        <v>6565</v>
      </c>
    </row>
    <row r="2643" spans="1:4" ht="30">
      <c r="A2643" s="5" t="str">
        <f>HYPERLINK("https://www.oit.va.gov/Services/TRM/ToolPage.aspx?tid=7219^","eGain Cobrowse")</f>
        <v>eGain Cobrowse</v>
      </c>
      <c r="B2643" s="4" t="s">
        <v>4069</v>
      </c>
      <c r="C2643" s="8" t="s">
        <v>5</v>
      </c>
      <c r="D2643" s="11" t="s">
        <v>2525</v>
      </c>
    </row>
    <row r="2644" spans="1:4" ht="30">
      <c r="A2644" s="5" t="str">
        <f>HYPERLINK("https://www.oit.va.gov/Services/TRM/ToolPage.aspx?tid=5475^","Processor Area Network (PAN) Manager")</f>
        <v>Processor Area Network (PAN) Manager</v>
      </c>
      <c r="B2644" s="4" t="s">
        <v>8484</v>
      </c>
      <c r="C2644" s="8" t="s">
        <v>5</v>
      </c>
      <c r="D2644" s="11" t="s">
        <v>8485</v>
      </c>
    </row>
    <row r="2645" spans="1:4" ht="30">
      <c r="A2645" s="5" t="str">
        <f>HYPERLINK("https://www.oit.va.gov/Services/TRM/ToolPage.aspx?tid=14508^","Eggplant Manager")</f>
        <v>Eggplant Manager</v>
      </c>
      <c r="B2645" s="4" t="s">
        <v>4072</v>
      </c>
      <c r="C2645" s="8" t="s">
        <v>5</v>
      </c>
      <c r="D2645" s="11" t="s">
        <v>2538</v>
      </c>
    </row>
    <row r="2646" spans="1:4" ht="30">
      <c r="A2646" s="5" t="str">
        <f>HYPERLINK("https://www.oit.va.gov/Services/TRM/ToolPage.aspx?tid=11643^","eHealthVitals")</f>
        <v>eHealthVitals</v>
      </c>
      <c r="B2646" s="4" t="s">
        <v>7839</v>
      </c>
      <c r="C2646" s="8" t="s">
        <v>5</v>
      </c>
      <c r="D2646" s="11" t="s">
        <v>7840</v>
      </c>
    </row>
    <row r="2647" spans="1:4" ht="30">
      <c r="A2647" s="5" t="str">
        <f>HYPERLINK("https://www.oit.va.gov/Services/TRM/ToolPage.aspx?tid=13931^","User State Migration Tool GUI")</f>
        <v>User State Migration Tool GUI</v>
      </c>
      <c r="B2647" s="4" t="s">
        <v>7277</v>
      </c>
      <c r="C2647" s="8" t="s">
        <v>5</v>
      </c>
      <c r="D2647" s="11" t="s">
        <v>6256</v>
      </c>
    </row>
    <row r="2648" spans="1:4" ht="30">
      <c r="A2648" s="5" t="str">
        <f>HYPERLINK("https://www.oit.va.gov/Services/TRM/ToolPage.aspx?tid=11655^","ProFuse")</f>
        <v>ProFuse</v>
      </c>
      <c r="B2648" s="4" t="s">
        <v>8486</v>
      </c>
      <c r="C2648" s="8" t="s">
        <v>5</v>
      </c>
      <c r="D2648" s="11" t="s">
        <v>3594</v>
      </c>
    </row>
    <row r="2649" spans="1:4" ht="30">
      <c r="A2649" s="5" t="str">
        <f>HYPERLINK("https://www.oit.va.gov/Services/TRM/ToolPage.aspx?tid=7769^","Partial Least Squares_Toolbox")</f>
        <v>Partial Least Squares_Toolbox</v>
      </c>
      <c r="B2649" s="4" t="s">
        <v>3444</v>
      </c>
      <c r="C2649" s="8" t="s">
        <v>5</v>
      </c>
      <c r="D2649" s="11" t="s">
        <v>2869</v>
      </c>
    </row>
    <row r="2650" spans="1:4" ht="30">
      <c r="A2650" s="5" t="str">
        <f>HYPERLINK("https://www.oit.va.gov/Services/TRM/ToolPage.aspx?tid=11753^","PowerScan")</f>
        <v>PowerScan</v>
      </c>
      <c r="B2650" s="4" t="s">
        <v>4639</v>
      </c>
      <c r="C2650" s="8" t="s">
        <v>5</v>
      </c>
      <c r="D2650" s="11" t="s">
        <v>4564</v>
      </c>
    </row>
    <row r="2651" spans="1:4" ht="30">
      <c r="A2651" s="5" t="str">
        <f>HYPERLINK("https://www.oit.va.gov/Services/TRM/ToolPage.aspx?tid=8598^","ScanPro Software")</f>
        <v>ScanPro Software</v>
      </c>
      <c r="B2651" s="4" t="s">
        <v>4639</v>
      </c>
      <c r="C2651" s="8" t="s">
        <v>5</v>
      </c>
      <c r="D2651" s="11" t="s">
        <v>4619</v>
      </c>
    </row>
    <row r="2652" spans="1:4" ht="30">
      <c r="A2652" s="5" t="str">
        <f>HYPERLINK("https://www.oit.va.gov/Services/TRM/ToolPage.aspx?tid=11329^","JavaScript (JS) Beautifier")</f>
        <v>JavaScript (JS) Beautifier</v>
      </c>
      <c r="B2652" s="4" t="s">
        <v>5279</v>
      </c>
      <c r="C2652" s="8" t="s">
        <v>5</v>
      </c>
      <c r="D2652" s="11" t="s">
        <v>2268</v>
      </c>
    </row>
    <row r="2653" spans="1:4" ht="30">
      <c r="A2653" s="5" t="str">
        <f>HYPERLINK("https://www.oit.va.gov/Services/TRM/ToolPage.aspx?tid=16359^","Sapphire Drug Library Editor")</f>
        <v>Sapphire Drug Library Editor</v>
      </c>
      <c r="B2653" s="4" t="s">
        <v>6055</v>
      </c>
      <c r="C2653" s="8" t="s">
        <v>5</v>
      </c>
      <c r="D2653" s="11" t="s">
        <v>6056</v>
      </c>
    </row>
    <row r="2654" spans="1:4" ht="30">
      <c r="A2654" s="5" t="str">
        <f>HYPERLINK("https://www.oit.va.gov/Services/TRM/ToolPage.aspx?tid=11035^","RadiCS")</f>
        <v>RadiCS</v>
      </c>
      <c r="B2654" s="4" t="s">
        <v>4710</v>
      </c>
      <c r="C2654" s="8" t="s">
        <v>5</v>
      </c>
      <c r="D2654" s="11" t="s">
        <v>4711</v>
      </c>
    </row>
    <row r="2655" spans="1:4" ht="30">
      <c r="A2655" s="5" t="str">
        <f>HYPERLINK("https://www.oit.va.gov/Services/TRM/ToolPage.aspx?tid=12893^","RadiNET Pro")</f>
        <v>RadiNET Pro</v>
      </c>
      <c r="B2655" s="4" t="s">
        <v>4710</v>
      </c>
      <c r="C2655" s="8" t="s">
        <v>5</v>
      </c>
      <c r="D2655" s="11" t="s">
        <v>4230</v>
      </c>
    </row>
    <row r="2656" spans="1:4" ht="30">
      <c r="A2656" s="5" t="str">
        <f>HYPERLINK("https://www.oit.va.gov/Services/TRM/ToolPage.aspx?tid=7232^","JProfiler")</f>
        <v>JProfiler</v>
      </c>
      <c r="B2656" s="4" t="s">
        <v>734</v>
      </c>
      <c r="C2656" s="8" t="s">
        <v>5</v>
      </c>
      <c r="D2656" s="11" t="s">
        <v>735</v>
      </c>
    </row>
    <row r="2657" spans="1:4" ht="30">
      <c r="A2657" s="5" t="str">
        <f>HYPERLINK("https://www.oit.va.gov/Services/TRM/ToolPage.aspx?tid=13197^","Install4j")</f>
        <v>Install4j</v>
      </c>
      <c r="B2657" s="4" t="s">
        <v>734</v>
      </c>
      <c r="C2657" s="8" t="s">
        <v>5</v>
      </c>
      <c r="D2657" s="11" t="s">
        <v>1273</v>
      </c>
    </row>
    <row r="2658" spans="1:4" ht="30">
      <c r="A2658" s="5" t="str">
        <f>HYPERLINK("https://www.oit.va.gov/Services/TRM/ToolPage.aspx?tid=14120^","Ekahau Artificial Intelligence (AI) Pro")</f>
        <v>Ekahau Artificial Intelligence (AI) Pro</v>
      </c>
      <c r="B2658" s="4" t="s">
        <v>204</v>
      </c>
      <c r="C2658" s="8" t="s">
        <v>5</v>
      </c>
      <c r="D2658" s="11" t="s">
        <v>205</v>
      </c>
    </row>
    <row r="2659" spans="1:4" ht="30">
      <c r="A2659" s="5" t="str">
        <f>HYPERLINK("https://www.oit.va.gov/Services/TRM/ToolPage.aspx?tid=6170^","Virtual CloneDrive")</f>
        <v>Virtual CloneDrive</v>
      </c>
      <c r="B2659" s="4" t="s">
        <v>5574</v>
      </c>
      <c r="C2659" s="8" t="s">
        <v>5</v>
      </c>
      <c r="D2659" s="11" t="s">
        <v>5442</v>
      </c>
    </row>
    <row r="2660" spans="1:4" ht="30">
      <c r="A2660" s="5" t="str">
        <f>HYPERLINK("https://www.oit.va.gov/Services/TRM/ToolPage.aspx?tid=11745^","Elasticsearch.js")</f>
        <v>Elasticsearch.js</v>
      </c>
      <c r="B2660" s="4" t="s">
        <v>510</v>
      </c>
      <c r="C2660" s="8" t="s">
        <v>5</v>
      </c>
      <c r="D2660" s="11" t="s">
        <v>511</v>
      </c>
    </row>
    <row r="2661" spans="1:4" ht="30">
      <c r="A2661" s="5" t="str">
        <f>HYPERLINK("https://www.oit.va.gov/Services/TRM/ToolPage.aspx?tid=11527^","Beats Platform")</f>
        <v>Beats Platform</v>
      </c>
      <c r="B2661" s="4" t="s">
        <v>510</v>
      </c>
      <c r="C2661" s="8" t="s">
        <v>5</v>
      </c>
      <c r="D2661" s="11" t="s">
        <v>1429</v>
      </c>
    </row>
    <row r="2662" spans="1:4" ht="30">
      <c r="A2662" s="5" t="str">
        <f>HYPERLINK("https://www.oit.va.gov/Services/TRM/ToolPage.aspx?tid=7305^","Elasticsearch")</f>
        <v>Elasticsearch</v>
      </c>
      <c r="B2662" s="4" t="s">
        <v>510</v>
      </c>
      <c r="C2662" s="8" t="s">
        <v>5</v>
      </c>
      <c r="D2662" s="11" t="s">
        <v>4076</v>
      </c>
    </row>
    <row r="2663" spans="1:4" ht="30">
      <c r="A2663" s="5" t="str">
        <f>HYPERLINK("https://www.oit.va.gov/Services/TRM/ToolPage.aspx?tid=7402^","Kibana")</f>
        <v>Kibana</v>
      </c>
      <c r="B2663" s="4" t="s">
        <v>510</v>
      </c>
      <c r="C2663" s="8" t="s">
        <v>5</v>
      </c>
      <c r="D2663" s="11" t="s">
        <v>2293</v>
      </c>
    </row>
    <row r="2664" spans="1:4" ht="30">
      <c r="A2664" s="5" t="str">
        <f>HYPERLINK("https://www.oit.va.gov/Services/TRM/ToolPage.aspx?tid=10374^","ELecta Learning Management System (LMS)")</f>
        <v>ELecta Learning Management System (LMS)</v>
      </c>
      <c r="B2664" s="4" t="s">
        <v>2537</v>
      </c>
      <c r="C2664" s="8" t="s">
        <v>5</v>
      </c>
      <c r="D2664" s="11" t="s">
        <v>2538</v>
      </c>
    </row>
    <row r="2665" spans="1:4" ht="30">
      <c r="A2665" s="5" t="str">
        <f>HYPERLINK("https://www.oit.va.gov/Services/TRM/ToolPage.aspx?tid=11598^","Communicator EXT")</f>
        <v>Communicator EXT</v>
      </c>
      <c r="B2665" s="4" t="s">
        <v>629</v>
      </c>
      <c r="C2665" s="8" t="s">
        <v>5</v>
      </c>
      <c r="D2665" s="11" t="s">
        <v>630</v>
      </c>
    </row>
    <row r="2666" spans="1:4" ht="30">
      <c r="A2666" s="5" t="str">
        <f>HYPERLINK("https://www.oit.va.gov/Services/TRM/ToolPage.aspx?tid=16619^","Privacy Badger")</f>
        <v>Privacy Badger</v>
      </c>
      <c r="B2666" s="4" t="s">
        <v>7028</v>
      </c>
      <c r="C2666" s="8" t="s">
        <v>5</v>
      </c>
      <c r="D2666" s="11" t="s">
        <v>292</v>
      </c>
    </row>
    <row r="2667" spans="1:4" ht="30">
      <c r="A2667" s="5" t="str">
        <f>HYPERLINK("https://www.oit.va.gov/Services/TRM/ToolPage.aspx?tid=9225^","MOSAIQ Radiation Oncology")</f>
        <v>MOSAIQ Radiation Oncology</v>
      </c>
      <c r="B2667" s="4" t="s">
        <v>2786</v>
      </c>
      <c r="C2667" s="8" t="s">
        <v>5</v>
      </c>
      <c r="D2667" s="11" t="s">
        <v>2787</v>
      </c>
    </row>
    <row r="2668" spans="1:4" ht="30">
      <c r="A2668" s="5" t="str">
        <f>HYPERLINK("https://www.oit.va.gov/Services/TRM/ToolPage.aspx?tid=7657^","Zoom CallREC")</f>
        <v>Zoom CallREC</v>
      </c>
      <c r="B2668" s="4" t="s">
        <v>8984</v>
      </c>
      <c r="C2668" s="8" t="s">
        <v>5</v>
      </c>
      <c r="D2668" s="11" t="s">
        <v>269</v>
      </c>
    </row>
    <row r="2669" spans="1:4" ht="30">
      <c r="A2669" s="5" t="str">
        <f>HYPERLINK("https://www.oit.va.gov/Services/TRM/ToolPage.aspx?tid=9813^","Commercial HVAC Loads (CHVAC)")</f>
        <v>Commercial HVAC Loads (CHVAC)</v>
      </c>
      <c r="B2669" s="4" t="s">
        <v>6444</v>
      </c>
      <c r="C2669" s="8" t="s">
        <v>5</v>
      </c>
      <c r="D2669" s="11" t="s">
        <v>2449</v>
      </c>
    </row>
    <row r="2670" spans="1:4" ht="30">
      <c r="A2670" s="5" t="str">
        <f>HYPERLINK("https://www.oit.va.gov/Services/TRM/ToolPage.aspx?tid=14519^","Elitechlog Software")</f>
        <v>Elitechlog Software</v>
      </c>
      <c r="B2670" s="4" t="s">
        <v>4080</v>
      </c>
      <c r="C2670" s="8" t="s">
        <v>5</v>
      </c>
      <c r="D2670" s="11" t="s">
        <v>4081</v>
      </c>
    </row>
    <row r="2671" spans="1:4" ht="30">
      <c r="A2671" s="5" t="str">
        <f>HYPERLINK("https://www.oit.va.gov/Services/TRM/ToolPage.aspx?tid=6050^","MedProx")</f>
        <v>MedProx</v>
      </c>
      <c r="B2671" s="4" t="s">
        <v>8242</v>
      </c>
      <c r="C2671" s="8" t="s">
        <v>5</v>
      </c>
      <c r="D2671" s="11" t="s">
        <v>8243</v>
      </c>
    </row>
    <row r="2672" spans="1:4" ht="30">
      <c r="A2672" s="5" t="str">
        <f>HYPERLINK("https://www.oit.va.gov/Services/TRM/ToolPage.aspx?tid=7612^","LKTransfer")</f>
        <v>LKTransfer</v>
      </c>
      <c r="B2672" s="4" t="s">
        <v>8185</v>
      </c>
      <c r="C2672" s="8" t="s">
        <v>5</v>
      </c>
      <c r="D2672" s="11" t="s">
        <v>7694</v>
      </c>
    </row>
    <row r="2673" spans="1:4" ht="30">
      <c r="A2673" s="5" t="str">
        <f>HYPERLINK("https://www.oit.va.gov/Services/TRM/ToolPage.aspx?tid=14084^","ELMO Interactive Toolbox")</f>
        <v>ELMO Interactive Toolbox</v>
      </c>
      <c r="B2673" s="4" t="s">
        <v>1525</v>
      </c>
      <c r="C2673" s="8" t="s">
        <v>5</v>
      </c>
      <c r="D2673" s="11" t="s">
        <v>1526</v>
      </c>
    </row>
    <row r="2674" spans="1:4" ht="30">
      <c r="A2674" s="5" t="str">
        <f>HYPERLINK("https://www.oit.va.gov/Services/TRM/ToolPage.aspx?tid=8974^","Image Mate")</f>
        <v>Image Mate</v>
      </c>
      <c r="B2674" s="4" t="s">
        <v>1525</v>
      </c>
      <c r="C2674" s="8" t="s">
        <v>5</v>
      </c>
      <c r="D2674" s="11" t="s">
        <v>2920</v>
      </c>
    </row>
    <row r="2675" spans="1:4" ht="30">
      <c r="A2675" s="5" t="str">
        <f>HYPERLINK("https://www.oit.va.gov/Services/TRM/ToolPage.aspx?tid=13785^","EIRIS Management Software")</f>
        <v>EIRIS Management Software</v>
      </c>
      <c r="B2675" s="4" t="s">
        <v>2535</v>
      </c>
      <c r="C2675" s="8" t="s">
        <v>5</v>
      </c>
      <c r="D2675" s="11" t="s">
        <v>644</v>
      </c>
    </row>
    <row r="2676" spans="1:4" ht="30">
      <c r="A2676" s="5" t="str">
        <f>HYPERLINK("https://www.oit.va.gov/Services/TRM/ToolPage.aspx?tid=8010^","Mendeley")</f>
        <v>Mendeley</v>
      </c>
      <c r="B2676" s="4" t="s">
        <v>5334</v>
      </c>
      <c r="C2676" s="8" t="s">
        <v>5</v>
      </c>
      <c r="D2676" s="11" t="s">
        <v>5335</v>
      </c>
    </row>
    <row r="2677" spans="1:4" ht="30">
      <c r="A2677" s="5" t="str">
        <f>HYPERLINK("https://www.oit.va.gov/Services/TRM/ToolPage.aspx?tid=14014^","Elsevier Fingerprint Engine")</f>
        <v>Elsevier Fingerprint Engine</v>
      </c>
      <c r="B2677" s="4" t="s">
        <v>5334</v>
      </c>
      <c r="C2677" s="8" t="s">
        <v>5</v>
      </c>
      <c r="D2677" s="11" t="s">
        <v>2569</v>
      </c>
    </row>
    <row r="2678" spans="1:4" ht="30">
      <c r="A2678" s="5" t="str">
        <f>HYPERLINK("https://www.oit.va.gov/Services/TRM/ToolPage.aspx?tid=14111^","Elmedia Player")</f>
        <v>Elmedia Player</v>
      </c>
      <c r="B2678" s="4" t="s">
        <v>7850</v>
      </c>
      <c r="C2678" s="8" t="s">
        <v>5</v>
      </c>
      <c r="D2678" s="11" t="s">
        <v>7851</v>
      </c>
    </row>
    <row r="2679" spans="1:4" ht="30">
      <c r="A2679" s="5" t="str">
        <f>HYPERLINK("https://www.oit.va.gov/Services/TRM/ToolPage.aspx?tid=14101^","eM Client")</f>
        <v>eM Client</v>
      </c>
      <c r="B2679" s="4" t="s">
        <v>7852</v>
      </c>
      <c r="C2679" s="8" t="s">
        <v>5</v>
      </c>
      <c r="D2679" s="11" t="s">
        <v>7853</v>
      </c>
    </row>
    <row r="2680" spans="1:4" ht="30">
      <c r="A2680" s="5" t="str">
        <f>HYPERLINK("https://www.oit.va.gov/Services/TRM/ToolPage.aspx?tid=16472^","EmailArchitect SendMail (EASendMail) Simple Mail Transfer Protocol (SMTP) Component")</f>
        <v>EmailArchitect SendMail (EASendMail) Simple Mail Transfer Protocol (SMTP) Component</v>
      </c>
      <c r="B2680" s="4" t="s">
        <v>298</v>
      </c>
      <c r="C2680" s="8" t="s">
        <v>5</v>
      </c>
      <c r="D2680" s="11" t="s">
        <v>299</v>
      </c>
    </row>
    <row r="2681" spans="1:4" ht="30">
      <c r="A2681" s="5" t="str">
        <f>HYPERLINK("https://www.oit.va.gov/Services/TRM/ToolPage.aspx?tid=10882^","Bulk Mailer")</f>
        <v>Bulk Mailer</v>
      </c>
      <c r="B2681" s="4" t="s">
        <v>5080</v>
      </c>
      <c r="C2681" s="8" t="s">
        <v>5</v>
      </c>
      <c r="D2681" s="11" t="s">
        <v>5081</v>
      </c>
    </row>
    <row r="2682" spans="1:4" ht="30">
      <c r="A2682" s="5" t="str">
        <f>HYPERLINK("https://www.oit.va.gov/Services/TRM/ToolPage.aspx?tid=13587^","MetaWeb")</f>
        <v>MetaWeb</v>
      </c>
      <c r="B2682" s="4" t="s">
        <v>8255</v>
      </c>
      <c r="C2682" s="8" t="s">
        <v>5</v>
      </c>
      <c r="D2682" s="11" t="s">
        <v>6230</v>
      </c>
    </row>
    <row r="2683" spans="1:4" ht="30">
      <c r="A2683" s="5" t="str">
        <f>HYPERLINK("https://www.oit.va.gov/Services/TRM/ToolPage.aspx?tid=6317^","Rapid Application Development (RAD) Studio")</f>
        <v>Rapid Application Development (RAD) Studio</v>
      </c>
      <c r="B2683" s="4" t="s">
        <v>823</v>
      </c>
      <c r="C2683" s="8" t="s">
        <v>5</v>
      </c>
      <c r="D2683" s="11" t="s">
        <v>824</v>
      </c>
    </row>
    <row r="2684" spans="1:4" ht="30">
      <c r="A2684" s="5" t="str">
        <f>HYPERLINK("https://www.oit.va.gov/Services/TRM/ToolPage.aspx?tid=5632^","InterBase")</f>
        <v>InterBase</v>
      </c>
      <c r="B2684" s="4" t="s">
        <v>823</v>
      </c>
      <c r="C2684" s="8" t="s">
        <v>5</v>
      </c>
      <c r="D2684" s="11" t="s">
        <v>1645</v>
      </c>
    </row>
    <row r="2685" spans="1:4" ht="30">
      <c r="A2685" s="5" t="str">
        <f>HYPERLINK("https://www.oit.va.gov/Services/TRM/ToolPage.aspx?tid=16000^","AppWave Enterprise License Center (ELC)")</f>
        <v>AppWave Enterprise License Center (ELC)</v>
      </c>
      <c r="B2685" s="4" t="s">
        <v>823</v>
      </c>
      <c r="C2685" s="8" t="s">
        <v>5</v>
      </c>
      <c r="D2685" s="11" t="s">
        <v>3766</v>
      </c>
    </row>
    <row r="2686" spans="1:4" ht="30">
      <c r="A2686" s="5" t="str">
        <f>HYPERLINK("https://www.oit.va.gov/Services/TRM/ToolPage.aspx?tid=6958^","Embarcadero All-Access")</f>
        <v>Embarcadero All-Access</v>
      </c>
      <c r="B2686" s="4" t="s">
        <v>823</v>
      </c>
      <c r="C2686" s="8" t="s">
        <v>5</v>
      </c>
      <c r="D2686" s="11" t="s">
        <v>5171</v>
      </c>
    </row>
    <row r="2687" spans="1:4" ht="30">
      <c r="A2687" s="5" t="str">
        <f>HYPERLINK("https://www.oit.va.gov/Services/TRM/ToolPage.aspx?tid=11127^","Borland Database Engine")</f>
        <v>Borland Database Engine</v>
      </c>
      <c r="B2687" s="4" t="s">
        <v>823</v>
      </c>
      <c r="C2687" s="8" t="s">
        <v>5</v>
      </c>
      <c r="D2687" s="11" t="s">
        <v>6617</v>
      </c>
    </row>
    <row r="2688" spans="1:4" ht="30">
      <c r="A2688" s="5" t="str">
        <f>HYPERLINK("https://www.oit.va.gov/Services/TRM/ToolPage.aspx?tid=14513^","CodeWright")</f>
        <v>CodeWright</v>
      </c>
      <c r="B2688" s="4" t="s">
        <v>823</v>
      </c>
      <c r="C2688" s="8" t="s">
        <v>5</v>
      </c>
      <c r="D2688" s="11" t="s">
        <v>7668</v>
      </c>
    </row>
    <row r="2689" spans="1:4" ht="30">
      <c r="A2689" s="5" t="str">
        <f>HYPERLINK("https://www.oit.va.gov/Services/TRM/ToolPage.aspx?tid=13237^","Ember.js")</f>
        <v>Ember.js</v>
      </c>
      <c r="B2689" s="4" t="s">
        <v>1527</v>
      </c>
      <c r="C2689" s="8" t="s">
        <v>5</v>
      </c>
      <c r="D2689" s="11" t="s">
        <v>1178</v>
      </c>
    </row>
    <row r="2690" spans="1:4" ht="30">
      <c r="A2690" s="5" t="str">
        <f>HYPERLINK("https://www.oit.va.gov/Services/TRM/ToolPage.aspx?tid=9351^","Embrava Connect")</f>
        <v>Embrava Connect</v>
      </c>
      <c r="B2690" s="4" t="s">
        <v>4082</v>
      </c>
      <c r="C2690" s="8" t="s">
        <v>5</v>
      </c>
      <c r="D2690" s="11" t="s">
        <v>4083</v>
      </c>
    </row>
    <row r="2691" spans="1:4" ht="30">
      <c r="A2691" s="5" t="str">
        <f>HYPERLINK("https://www.oit.va.gov/Services/TRM/ToolPage.aspx?tid=13708^","Control Center")</f>
        <v>Control Center</v>
      </c>
      <c r="B2691" s="4" t="s">
        <v>3228</v>
      </c>
      <c r="C2691" s="8" t="s">
        <v>5</v>
      </c>
      <c r="D2691" s="11" t="s">
        <v>3229</v>
      </c>
    </row>
    <row r="2692" spans="1:4" ht="30">
      <c r="A2692" s="5" t="str">
        <f>HYPERLINK("https://www.oit.va.gov/Services/TRM/ToolPage.aspx?tid=10530^","EMC Data Domain Boost Filesystem (BoostFS)")</f>
        <v>EMC Data Domain Boost Filesystem (BoostFS)</v>
      </c>
      <c r="B2692" s="4" t="s">
        <v>3228</v>
      </c>
      <c r="C2692" s="8" t="s">
        <v>5</v>
      </c>
      <c r="D2692" s="11" t="s">
        <v>4084</v>
      </c>
    </row>
    <row r="2693" spans="1:4" ht="30">
      <c r="A2693" s="5" t="str">
        <f>HYPERLINK("https://www.oit.va.gov/Services/TRM/ToolPage.aspx?tid=10482^","Unisphere Service Manager (USM)")</f>
        <v>Unisphere Service Manager (USM)</v>
      </c>
      <c r="B2693" s="4" t="s">
        <v>3228</v>
      </c>
      <c r="C2693" s="8" t="s">
        <v>5</v>
      </c>
      <c r="D2693" s="11" t="s">
        <v>5561</v>
      </c>
    </row>
    <row r="2694" spans="1:4" ht="30">
      <c r="A2694" s="5" t="str">
        <f>HYPERLINK("https://www.oit.va.gov/Services/TRM/ToolPage.aspx?tid=10492^","EMC Virtuent")</f>
        <v>EMC Virtuent</v>
      </c>
      <c r="B2694" s="4" t="s">
        <v>3228</v>
      </c>
      <c r="C2694" s="8" t="s">
        <v>5</v>
      </c>
      <c r="D2694" s="11" t="s">
        <v>3408</v>
      </c>
    </row>
    <row r="2695" spans="1:4" ht="30">
      <c r="A2695" s="5" t="str">
        <f>HYPERLINK("https://www.oit.va.gov/Services/TRM/ToolPage.aspx?tid=7514^","EMC Atmos GeoDrive")</f>
        <v>EMC Atmos GeoDrive</v>
      </c>
      <c r="B2695" s="4" t="s">
        <v>3228</v>
      </c>
      <c r="C2695" s="8" t="s">
        <v>5</v>
      </c>
      <c r="D2695" s="11" t="s">
        <v>6572</v>
      </c>
    </row>
    <row r="2696" spans="1:4" ht="30">
      <c r="A2696" s="5" t="str">
        <f>HYPERLINK("https://www.oit.va.gov/Services/TRM/ToolPage.aspx?tid=13806^","EMC Centera")</f>
        <v>EMC Centera</v>
      </c>
      <c r="B2696" s="4" t="s">
        <v>3228</v>
      </c>
      <c r="C2696" s="8" t="s">
        <v>5</v>
      </c>
      <c r="D2696" s="11" t="s">
        <v>7855</v>
      </c>
    </row>
    <row r="2697" spans="1:4" ht="30">
      <c r="A2697" s="5" t="str">
        <f>HYPERLINK("https://www.oit.va.gov/Services/TRM/ToolPage.aspx?tid=10505^","Unisphere Client")</f>
        <v>Unisphere Client</v>
      </c>
      <c r="B2697" s="4" t="s">
        <v>3228</v>
      </c>
      <c r="C2697" s="8" t="s">
        <v>5</v>
      </c>
      <c r="D2697" s="11" t="s">
        <v>1367</v>
      </c>
    </row>
    <row r="2698" spans="1:4" ht="30">
      <c r="A2698" s="5" t="str">
        <f>HYPERLINK("https://www.oit.va.gov/Services/TRM/ToolPage.aspx?tid=10481^","Unisphere for VPLEX")</f>
        <v>Unisphere for VPLEX</v>
      </c>
      <c r="B2698" s="4" t="s">
        <v>3228</v>
      </c>
      <c r="C2698" s="8" t="s">
        <v>5</v>
      </c>
      <c r="D2698" s="11" t="s">
        <v>8845</v>
      </c>
    </row>
    <row r="2699" spans="1:4" ht="30">
      <c r="A2699" s="5" t="str">
        <f>HYPERLINK("https://www.oit.va.gov/Services/TRM/ToolPage.aspx?tid=13638^","EMCO Medium Scale Integration (MSI) Package Builder")</f>
        <v>EMCO Medium Scale Integration (MSI) Package Builder</v>
      </c>
      <c r="B2699" s="4" t="s">
        <v>4087</v>
      </c>
      <c r="C2699" s="8" t="s">
        <v>5</v>
      </c>
      <c r="D2699" s="11" t="s">
        <v>4058</v>
      </c>
    </row>
    <row r="2700" spans="1:4" ht="30">
      <c r="A2700" s="5" t="str">
        <f>HYPERLINK("https://www.oit.va.gov/Services/TRM/ToolPage.aspx?tid=15967^","EMCO Remote Installer")</f>
        <v>EMCO Remote Installer</v>
      </c>
      <c r="B2700" s="4" t="s">
        <v>4087</v>
      </c>
      <c r="C2700" s="8" t="s">
        <v>5</v>
      </c>
      <c r="D2700" s="11" t="s">
        <v>2542</v>
      </c>
    </row>
    <row r="2701" spans="1:4" ht="30">
      <c r="A2701" s="5" t="str">
        <f>HYPERLINK("https://www.oit.va.gov/Services/TRM/ToolPage.aspx?tid=14168^","Ping Monitor")</f>
        <v>Ping Monitor</v>
      </c>
      <c r="B2701" s="4" t="s">
        <v>4087</v>
      </c>
      <c r="C2701" s="8" t="s">
        <v>5</v>
      </c>
      <c r="D2701" s="11" t="s">
        <v>5465</v>
      </c>
    </row>
    <row r="2702" spans="1:4" ht="30">
      <c r="A2702" s="5" t="str">
        <f>HYPERLINK("https://www.oit.va.gov/Services/TRM/ToolPage.aspx?tid=9704^","ShadowLink")</f>
        <v>ShadowLink</v>
      </c>
      <c r="B2702" s="4" t="s">
        <v>4782</v>
      </c>
      <c r="C2702" s="8" t="s">
        <v>5</v>
      </c>
      <c r="D2702" s="11" t="s">
        <v>4062</v>
      </c>
    </row>
    <row r="2703" spans="1:4" ht="30">
      <c r="A2703" s="5" t="str">
        <f>HYPERLINK("https://www.oit.va.gov/Services/TRM/ToolPage.aspx?tid=11546^","InScribe")</f>
        <v>InScribe</v>
      </c>
      <c r="B2703" s="4" t="s">
        <v>4782</v>
      </c>
      <c r="C2703" s="8" t="s">
        <v>5</v>
      </c>
      <c r="D2703" s="11" t="s">
        <v>6717</v>
      </c>
    </row>
    <row r="2704" spans="1:4" ht="30">
      <c r="A2704" s="5" t="str">
        <f>HYPERLINK("https://www.oit.va.gov/Services/TRM/ToolPage.aspx?tid=7499^","ecgAUTO")</f>
        <v>ecgAUTO</v>
      </c>
      <c r="B2704" s="4" t="s">
        <v>5163</v>
      </c>
      <c r="C2704" s="8" t="s">
        <v>5</v>
      </c>
      <c r="D2704" s="11" t="s">
        <v>5164</v>
      </c>
    </row>
    <row r="2705" spans="1:4" ht="30">
      <c r="A2705" s="5" t="str">
        <f>HYPERLINK("https://www.oit.va.gov/Services/TRM/ToolPage.aspx?tid=9825^","E4 Manager")</f>
        <v>E4 Manager</v>
      </c>
      <c r="B2705" s="4" t="s">
        <v>975</v>
      </c>
      <c r="C2705" s="8" t="s">
        <v>5</v>
      </c>
      <c r="D2705" s="11" t="s">
        <v>589</v>
      </c>
    </row>
    <row r="2706" spans="1:4" ht="30">
      <c r="A2706" s="5" t="str">
        <f>HYPERLINK("https://www.oit.va.gov/Services/TRM/ToolPage.aspx?tid=7308^","MediaLab")</f>
        <v>MediaLab</v>
      </c>
      <c r="B2706" s="4" t="s">
        <v>4394</v>
      </c>
      <c r="C2706" s="8" t="s">
        <v>5</v>
      </c>
      <c r="D2706" s="11" t="s">
        <v>4395</v>
      </c>
    </row>
    <row r="2707" spans="1:4" ht="30">
      <c r="A2707" s="5" t="str">
        <f>HYPERLINK("https://www.oit.va.gov/Services/TRM/ToolPage.aspx?tid=7307^","DirectRT")</f>
        <v>DirectRT</v>
      </c>
      <c r="B2707" s="4" t="s">
        <v>4394</v>
      </c>
      <c r="C2707" s="8" t="s">
        <v>5</v>
      </c>
      <c r="D2707" s="11" t="s">
        <v>5253</v>
      </c>
    </row>
    <row r="2708" spans="1:4" ht="30">
      <c r="A2708" s="5" t="str">
        <f>HYPERLINK("https://www.oit.va.gov/Services/TRM/ToolPage.aspx?tid=11184^","Unlocker")</f>
        <v>Unlocker</v>
      </c>
      <c r="B2708" s="4" t="s">
        <v>4950</v>
      </c>
      <c r="C2708" s="8" t="s">
        <v>5</v>
      </c>
      <c r="D2708" s="11" t="s">
        <v>3743</v>
      </c>
    </row>
    <row r="2709" spans="1:4" ht="30">
      <c r="A2709" s="5" t="str">
        <f>HYPERLINK("https://www.oit.va.gov/Services/TRM/ToolPage.aspx?tid=8694^","Event Management System (EMS) Lite")</f>
        <v>Event Management System (EMS) Lite</v>
      </c>
      <c r="B2709" s="4" t="s">
        <v>7879</v>
      </c>
      <c r="C2709" s="8" t="s">
        <v>5</v>
      </c>
      <c r="D2709" s="11" t="s">
        <v>3548</v>
      </c>
    </row>
    <row r="2710" spans="1:4" ht="30">
      <c r="A2710" s="5" t="str">
        <f>HYPERLINK("https://www.oit.va.gov/Services/TRM/ToolPage.aspx?tid=5961^","MeetingPlanner")</f>
        <v>MeetingPlanner</v>
      </c>
      <c r="B2710" s="4" t="s">
        <v>7879</v>
      </c>
      <c r="C2710" s="8" t="s">
        <v>5</v>
      </c>
      <c r="D2710" s="11" t="s">
        <v>5023</v>
      </c>
    </row>
    <row r="2711" spans="1:4" ht="30">
      <c r="A2711" s="5" t="str">
        <f>HYPERLINK("https://www.oit.va.gov/Services/TRM/ToolPage.aspx?tid=9686^","emsCharts Hospital Status Board")</f>
        <v>emsCharts Hospital Status Board</v>
      </c>
      <c r="B2711" s="4" t="s">
        <v>7858</v>
      </c>
      <c r="C2711" s="8" t="s">
        <v>5</v>
      </c>
      <c r="D2711" s="11" t="s">
        <v>7859</v>
      </c>
    </row>
    <row r="2712" spans="1:4" ht="30">
      <c r="A2712" s="5" t="str">
        <f>HYPERLINK("https://www.oit.va.gov/Services/TRM/ToolPage.aspx?tid=10454^","The Print Shop")</f>
        <v>The Print Shop</v>
      </c>
      <c r="B2712" s="4" t="s">
        <v>5551</v>
      </c>
      <c r="C2712" s="8" t="s">
        <v>5</v>
      </c>
      <c r="D2712" s="11" t="s">
        <v>3546</v>
      </c>
    </row>
    <row r="2713" spans="1:4" ht="30">
      <c r="A2713" s="5" t="str">
        <f>HYPERLINK("https://www.oit.va.gov/Services/TRM/ToolPage.aspx?tid=14478^","MessageExport for Microsoft Outlook")</f>
        <v>MessageExport for Microsoft Outlook</v>
      </c>
      <c r="B2713" s="4" t="s">
        <v>3380</v>
      </c>
      <c r="C2713" s="8" t="s">
        <v>5</v>
      </c>
      <c r="D2713" s="11" t="s">
        <v>3302</v>
      </c>
    </row>
    <row r="2714" spans="1:4" ht="30">
      <c r="A2714" s="5" t="str">
        <f>HYPERLINK("https://www.oit.va.gov/Services/TRM/ToolPage.aspx?tid=6370^","Endicia Shipper")</f>
        <v>Endicia Shipper</v>
      </c>
      <c r="B2714" s="4" t="s">
        <v>2545</v>
      </c>
      <c r="C2714" s="8" t="s">
        <v>5</v>
      </c>
      <c r="D2714" s="11" t="s">
        <v>2546</v>
      </c>
    </row>
    <row r="2715" spans="1:4" ht="30">
      <c r="A2715" s="5" t="str">
        <f>HYPERLINK("https://www.oit.va.gov/Services/TRM/ToolPage.aspx?tid=9830^","Orion2")</f>
        <v>Orion2</v>
      </c>
      <c r="B2715" s="4" t="s">
        <v>8376</v>
      </c>
      <c r="C2715" s="8" t="s">
        <v>5</v>
      </c>
      <c r="D2715" s="11" t="s">
        <v>5160</v>
      </c>
    </row>
    <row r="2716" spans="1:4" ht="30">
      <c r="A2716" s="5" t="str">
        <f>HYPERLINK("https://www.oit.va.gov/Services/TRM/ToolPage.aspx?tid=9255^","EndoVault Electronic Health Record (EHR)")</f>
        <v>EndoVault Electronic Health Record (EHR)</v>
      </c>
      <c r="B2716" s="4" t="s">
        <v>2547</v>
      </c>
      <c r="C2716" s="8" t="s">
        <v>5</v>
      </c>
      <c r="D2716" s="11" t="s">
        <v>2548</v>
      </c>
    </row>
    <row r="2717" spans="1:4" ht="30">
      <c r="A2717" s="5" t="str">
        <f>HYPERLINK("https://www.oit.va.gov/Services/TRM/ToolPage.aspx?tid=8696^","Enercalc Structural Engineering Plan Check Edition")</f>
        <v>Enercalc Structural Engineering Plan Check Edition</v>
      </c>
      <c r="B2717" s="4" t="s">
        <v>6576</v>
      </c>
      <c r="C2717" s="8" t="s">
        <v>5</v>
      </c>
      <c r="D2717" s="11" t="s">
        <v>3874</v>
      </c>
    </row>
    <row r="2718" spans="1:4" ht="30">
      <c r="A2718" s="5" t="str">
        <f>HYPERLINK("https://www.oit.va.gov/Services/TRM/ToolPage.aspx?tid=15482^","Enercalc Structural Engineering Library (SEL)")</f>
        <v>Enercalc Structural Engineering Library (SEL)</v>
      </c>
      <c r="B2718" s="4" t="s">
        <v>6576</v>
      </c>
      <c r="C2718" s="8" t="s">
        <v>5</v>
      </c>
      <c r="D2718" s="11" t="s">
        <v>5761</v>
      </c>
    </row>
    <row r="2719" spans="1:4" ht="30">
      <c r="A2719" s="5" t="str">
        <f>HYPERLINK("https://www.oit.va.gov/Services/TRM/ToolPage.aspx?tid=6897^","Enesys RS Data Extension")</f>
        <v>Enesys RS Data Extension</v>
      </c>
      <c r="B2719" s="4" t="s">
        <v>7862</v>
      </c>
      <c r="C2719" s="8" t="s">
        <v>5</v>
      </c>
      <c r="D2719" s="11" t="s">
        <v>7386</v>
      </c>
    </row>
    <row r="2720" spans="1:4" ht="30">
      <c r="A2720" s="5" t="str">
        <f>HYPERLINK("https://www.oit.va.gov/Services/TRM/ToolPage.aspx?tid=15149^","Enghouse Interactive: Quality Management Suite")</f>
        <v>Enghouse Interactive: Quality Management Suite</v>
      </c>
      <c r="B2720" s="4" t="s">
        <v>4093</v>
      </c>
      <c r="C2720" s="8" t="s">
        <v>5</v>
      </c>
      <c r="D2720" s="11" t="s">
        <v>1803</v>
      </c>
    </row>
    <row r="2721" spans="1:4" ht="30">
      <c r="A2721" s="5" t="str">
        <f>HYPERLINK("https://www.oit.va.gov/Services/TRM/ToolPage.aspx?tid=16246^","Enghouse Interactive Communications Portal")</f>
        <v>Enghouse Interactive Communications Portal</v>
      </c>
      <c r="B2721" s="4" t="s">
        <v>4093</v>
      </c>
      <c r="C2721" s="8" t="s">
        <v>5</v>
      </c>
      <c r="D2721" s="11" t="s">
        <v>5173</v>
      </c>
    </row>
    <row r="2722" spans="1:4" ht="30">
      <c r="A2722" s="5" t="str">
        <f>HYPERLINK("https://www.oit.va.gov/Services/TRM/ToolPage.aspx?tid=6937^","Contact Center: Enterprise")</f>
        <v>Contact Center: Enterprise</v>
      </c>
      <c r="B2722" s="4" t="s">
        <v>4093</v>
      </c>
      <c r="C2722" s="8" t="s">
        <v>5</v>
      </c>
      <c r="D2722" s="11" t="s">
        <v>6454</v>
      </c>
    </row>
    <row r="2723" spans="1:4" ht="30">
      <c r="A2723" s="5" t="str">
        <f>HYPERLINK("https://www.oit.va.gov/Services/TRM/ToolPage.aspx?tid=8464^","Enghouse Interactive: Communications Center (CC)")</f>
        <v>Enghouse Interactive: Communications Center (CC)</v>
      </c>
      <c r="B2723" s="4" t="s">
        <v>4093</v>
      </c>
      <c r="C2723" s="8" t="s">
        <v>5</v>
      </c>
      <c r="D2723" s="11" t="s">
        <v>6577</v>
      </c>
    </row>
    <row r="2724" spans="1:4" ht="30">
      <c r="A2724" s="5" t="str">
        <f>HYPERLINK("https://www.oit.va.gov/Services/TRM/ToolPage.aspx?tid=7805^","Care Transitions Portal")</f>
        <v>Care Transitions Portal</v>
      </c>
      <c r="B2724" s="4" t="s">
        <v>1404</v>
      </c>
      <c r="C2724" s="8" t="s">
        <v>5</v>
      </c>
      <c r="D2724" s="11" t="s">
        <v>1405</v>
      </c>
    </row>
    <row r="2725" spans="1:4" ht="30">
      <c r="A2725" s="5" t="str">
        <f>HYPERLINK("https://www.oit.va.gov/Services/TRM/ToolPage.aspx?tid=14439^","Virtual Medical Center (3D) Desktop Application")</f>
        <v>Virtual Medical Center (3D) Desktop Application</v>
      </c>
      <c r="B2725" s="4" t="s">
        <v>2038</v>
      </c>
      <c r="C2725" s="8" t="s">
        <v>5</v>
      </c>
      <c r="D2725" s="11" t="s">
        <v>2039</v>
      </c>
    </row>
    <row r="2726" spans="1:4" ht="30">
      <c r="A2726" s="5" t="str">
        <f>HYPERLINK("https://www.oit.va.gov/Services/TRM/ToolPage.aspx?tid=10853^","DaVinci Pro High Definition (HD) Optical Character Recognition (OCR)")</f>
        <v>DaVinci Pro High Definition (HD) Optical Character Recognition (OCR)</v>
      </c>
      <c r="B2726" s="4" t="s">
        <v>6485</v>
      </c>
      <c r="C2726" s="8" t="s">
        <v>5</v>
      </c>
      <c r="D2726" s="11" t="s">
        <v>3156</v>
      </c>
    </row>
    <row r="2727" spans="1:4" ht="30">
      <c r="A2727" s="5" t="str">
        <f>HYPERLINK("https://www.oit.va.gov/Services/TRM/ToolPage.aspx?tid=6064^","Monitor Information Reporting (MIR)")</f>
        <v>Monitor Information Reporting (MIR)</v>
      </c>
      <c r="B2727" s="4" t="s">
        <v>6886</v>
      </c>
      <c r="C2727" s="8" t="s">
        <v>5</v>
      </c>
      <c r="D2727" s="11" t="s">
        <v>6887</v>
      </c>
    </row>
    <row r="2728" spans="1:4" ht="30">
      <c r="A2728" s="5" t="str">
        <f>HYPERLINK("https://www.oit.va.gov/Services/TRM/ToolPage.aspx?tid=16086^","Ninject")</f>
        <v>Ninject</v>
      </c>
      <c r="B2728" s="4" t="s">
        <v>4503</v>
      </c>
      <c r="C2728" s="8" t="s">
        <v>5</v>
      </c>
      <c r="D2728" s="11" t="s">
        <v>4504</v>
      </c>
    </row>
    <row r="2729" spans="1:4" ht="30">
      <c r="A2729" s="5" t="str">
        <f>HYPERLINK("https://www.oit.va.gov/Services/TRM/ToolPage.aspx?tid=14453^","Enscape3D")</f>
        <v>Enscape3D</v>
      </c>
      <c r="B2729" s="4" t="s">
        <v>4095</v>
      </c>
      <c r="C2729" s="8" t="s">
        <v>5</v>
      </c>
      <c r="D2729" s="11" t="s">
        <v>551</v>
      </c>
    </row>
    <row r="2730" spans="1:4" ht="30">
      <c r="A2730" s="5" t="str">
        <f>HYPERLINK("https://www.oit.va.gov/Services/TRM/ToolPage.aspx?tid=15993^","BrightEye Control")</f>
        <v>BrightEye Control</v>
      </c>
      <c r="B2730" s="4" t="s">
        <v>5688</v>
      </c>
      <c r="C2730" s="8" t="s">
        <v>5</v>
      </c>
      <c r="D2730" s="11" t="s">
        <v>3182</v>
      </c>
    </row>
    <row r="2731" spans="1:4" ht="30">
      <c r="A2731" s="5" t="str">
        <f>HYPERLINK("https://www.oit.va.gov/Services/TRM/ToolPage.aspx?tid=13439^","LightSpeed")</f>
        <v>LightSpeed</v>
      </c>
      <c r="B2731" s="4" t="s">
        <v>8177</v>
      </c>
      <c r="C2731" s="8" t="s">
        <v>5</v>
      </c>
      <c r="D2731" s="11" t="s">
        <v>4620</v>
      </c>
    </row>
    <row r="2732" spans="1:4" ht="30">
      <c r="A2732" s="5" t="str">
        <f>HYPERLINK("https://www.oit.va.gov/Services/TRM/ToolPage.aspx?tid=10826^","Enterprise Health")</f>
        <v>Enterprise Health</v>
      </c>
      <c r="B2732" s="4" t="s">
        <v>1529</v>
      </c>
      <c r="C2732" s="8" t="s">
        <v>5</v>
      </c>
      <c r="D2732" s="11" t="s">
        <v>1530</v>
      </c>
    </row>
    <row r="2733" spans="1:4" ht="30">
      <c r="A2733" s="5" t="str">
        <f>HYPERLINK("https://www.oit.va.gov/Services/TRM/ToolPage.aspx?tid=15733^","Enthought Deployment Manager (EDM)")</f>
        <v>Enthought Deployment Manager (EDM)</v>
      </c>
      <c r="B2733" s="4" t="s">
        <v>4100</v>
      </c>
      <c r="C2733" s="8" t="s">
        <v>5</v>
      </c>
      <c r="D2733" s="11" t="s">
        <v>4101</v>
      </c>
    </row>
    <row r="2734" spans="1:4" ht="30">
      <c r="A2734" s="5" t="str">
        <f>HYPERLINK("https://www.oit.va.gov/Services/TRM/ToolPage.aspx?tid=13988^","Enthought Canopy")</f>
        <v>Enthought Canopy</v>
      </c>
      <c r="B2734" s="4" t="s">
        <v>4100</v>
      </c>
      <c r="C2734" s="8" t="s">
        <v>5</v>
      </c>
      <c r="D2734" s="11" t="s">
        <v>6581</v>
      </c>
    </row>
    <row r="2735" spans="1:4" ht="30">
      <c r="A2735" s="5" t="str">
        <f>HYPERLINK("https://www.oit.va.gov/Services/TRM/ToolPage.aspx?tid=10047^","Entrust Discovery Scanner")</f>
        <v>Entrust Discovery Scanner</v>
      </c>
      <c r="B2735" s="4" t="s">
        <v>5180</v>
      </c>
      <c r="C2735" s="8" t="s">
        <v>5</v>
      </c>
      <c r="D2735" s="11" t="s">
        <v>2222</v>
      </c>
    </row>
    <row r="2736" spans="1:4" ht="30">
      <c r="A2736" s="5" t="str">
        <f>HYPERLINK("https://www.oit.va.gov/Services/TRM/ToolPage.aspx?tid=8026^","Datacard IDCentre Silver")</f>
        <v>Datacard IDCentre Silver</v>
      </c>
      <c r="B2736" s="4" t="s">
        <v>7734</v>
      </c>
      <c r="C2736" s="8" t="s">
        <v>5</v>
      </c>
      <c r="D2736" s="11" t="s">
        <v>3212</v>
      </c>
    </row>
    <row r="2737" spans="1:4" ht="30">
      <c r="A2737" s="5" t="str">
        <f>HYPERLINK("https://www.oit.va.gov/Services/TRM/ToolPage.aspx?tid=16430^","ScriptAbility Pharmacy Application")</f>
        <v>ScriptAbility Pharmacy Application</v>
      </c>
      <c r="B2737" s="4" t="s">
        <v>2938</v>
      </c>
      <c r="C2737" s="8" t="s">
        <v>5</v>
      </c>
      <c r="D2737" s="11" t="s">
        <v>2939</v>
      </c>
    </row>
    <row r="2738" spans="1:4" ht="30">
      <c r="A2738" s="5" t="str">
        <f>HYPERLINK("https://www.oit.va.gov/Services/TRM/ToolPage.aspx?tid=16469^","Live Build DLP")</f>
        <v>Live Build DLP</v>
      </c>
      <c r="B2738" s="4" t="s">
        <v>4366</v>
      </c>
      <c r="C2738" s="8" t="s">
        <v>5</v>
      </c>
      <c r="D2738" s="11" t="s">
        <v>1758</v>
      </c>
    </row>
    <row r="2739" spans="1:4" ht="30">
      <c r="A2739" s="5" t="str">
        <f>HYPERLINK("https://www.oit.va.gov/Services/TRM/ToolPage.aspx?tid=13151^","Esteem Commander")</f>
        <v>Esteem Commander</v>
      </c>
      <c r="B2739" s="4" t="s">
        <v>5800</v>
      </c>
      <c r="C2739" s="8" t="s">
        <v>5</v>
      </c>
      <c r="D2739" s="11" t="s">
        <v>2429</v>
      </c>
    </row>
    <row r="2740" spans="1:4" ht="30">
      <c r="A2740" s="5" t="str">
        <f>HYPERLINK("https://www.oit.va.gov/Services/TRM/ToolPage.aspx?tid=14152^","Winmail Opener")</f>
        <v>Winmail Opener</v>
      </c>
      <c r="B2740" s="4" t="s">
        <v>8936</v>
      </c>
      <c r="C2740" s="8" t="s">
        <v>5</v>
      </c>
      <c r="D2740" s="11" t="s">
        <v>8793</v>
      </c>
    </row>
    <row r="2741" spans="1:4" ht="30">
      <c r="A2741" s="5" t="str">
        <f>HYPERLINK("https://www.oit.va.gov/Services/TRM/ToolPage.aspx?tid=16087^","EP Calipers")</f>
        <v>EP Calipers</v>
      </c>
      <c r="B2741" s="4" t="s">
        <v>5793</v>
      </c>
      <c r="C2741" s="8" t="s">
        <v>5</v>
      </c>
      <c r="D2741" s="11" t="s">
        <v>1772</v>
      </c>
    </row>
    <row r="2742" spans="1:4" ht="30">
      <c r="A2742" s="5" t="str">
        <f>HYPERLINK("https://www.oit.va.gov/Services/TRM/ToolPage.aspx?tid=7286^","Comply")</f>
        <v>Comply</v>
      </c>
      <c r="B2742" s="4" t="s">
        <v>5115</v>
      </c>
      <c r="C2742" s="8" t="s">
        <v>5</v>
      </c>
      <c r="D2742" s="11" t="s">
        <v>5116</v>
      </c>
    </row>
    <row r="2743" spans="1:4" ht="30">
      <c r="A2743" s="5" t="str">
        <f>HYPERLINK("https://www.oit.va.gov/Services/TRM/ToolPage.aspx?tid=11307^","EPANET")</f>
        <v>EPANET</v>
      </c>
      <c r="B2743" s="4" t="s">
        <v>5115</v>
      </c>
      <c r="C2743" s="8" t="s">
        <v>5</v>
      </c>
      <c r="D2743" s="11" t="s">
        <v>3823</v>
      </c>
    </row>
    <row r="2744" spans="1:4" ht="30">
      <c r="A2744" s="5" t="str">
        <f>HYPERLINK("https://www.oit.va.gov/Services/TRM/ToolPage.aspx?tid=8154^","Tier2 Submit Software")</f>
        <v>Tier2 Submit Software</v>
      </c>
      <c r="B2744" s="4" t="s">
        <v>5115</v>
      </c>
      <c r="C2744" s="8" t="s">
        <v>5</v>
      </c>
      <c r="D2744" s="11" t="s">
        <v>7231</v>
      </c>
    </row>
    <row r="2745" spans="1:4" ht="30">
      <c r="A2745" s="5" t="str">
        <f>HYPERLINK("https://www.oit.va.gov/Services/TRM/ToolPage.aspx?tid=9785^","Annual Hazardous Waste Report Software (HAR)")</f>
        <v>Annual Hazardous Waste Report Software (HAR)</v>
      </c>
      <c r="B2745" s="4" t="s">
        <v>5115</v>
      </c>
      <c r="C2745" s="8" t="s">
        <v>5</v>
      </c>
      <c r="D2745" s="11" t="s">
        <v>7446</v>
      </c>
    </row>
    <row r="2746" spans="1:4" ht="30">
      <c r="A2746" s="5" t="str">
        <f>HYPERLINK("https://www.oit.va.gov/Services/TRM/ToolPage.aspx?tid=9558^","Biennial Hazardous Waste Report Software (BRS)")</f>
        <v>Biennial Hazardous Waste Report Software (BRS)</v>
      </c>
      <c r="B2746" s="4" t="s">
        <v>5115</v>
      </c>
      <c r="C2746" s="8" t="s">
        <v>5</v>
      </c>
      <c r="D2746" s="11" t="s">
        <v>1898</v>
      </c>
    </row>
    <row r="2747" spans="1:4" ht="30">
      <c r="A2747" s="5" t="str">
        <f>HYPERLINK("https://www.oit.va.gov/Services/TRM/ToolPage.aspx?tid=5495^","Environmental Protection Agency (EPA) Substance Registry Services (SRS)")</f>
        <v>Environmental Protection Agency (EPA) Substance Registry Services (SRS)</v>
      </c>
      <c r="B2747" s="4" t="s">
        <v>5115</v>
      </c>
      <c r="C2747" s="8" t="s">
        <v>5</v>
      </c>
      <c r="D2747" s="11" t="s">
        <v>7869</v>
      </c>
    </row>
    <row r="2748" spans="1:4" ht="30">
      <c r="A2748" s="5" t="str">
        <f>HYPERLINK("https://www.oit.va.gov/Services/TRM/ToolPage.aspx?tid=8975^","IntegriSign Desktop (ISD)")</f>
        <v>IntegriSign Desktop (ISD)</v>
      </c>
      <c r="B2748" s="4" t="s">
        <v>4267</v>
      </c>
      <c r="C2748" s="8" t="s">
        <v>5</v>
      </c>
      <c r="D2748" s="11" t="s">
        <v>2262</v>
      </c>
    </row>
    <row r="2749" spans="1:4" ht="30">
      <c r="A2749" s="5" t="str">
        <f>HYPERLINK("https://www.oit.va.gov/Services/TRM/ToolPage.aspx?tid=9370^","ePad Universal Installer")</f>
        <v>ePad Universal Installer</v>
      </c>
      <c r="B2749" s="4" t="s">
        <v>4267</v>
      </c>
      <c r="C2749" s="8" t="s">
        <v>5</v>
      </c>
      <c r="D2749" s="11" t="s">
        <v>5181</v>
      </c>
    </row>
    <row r="2750" spans="1:4" ht="30">
      <c r="A2750" s="5" t="str">
        <f>HYPERLINK("https://www.oit.va.gov/Services/TRM/ToolPage.aspx?tid=11034^","Epharmix")</f>
        <v>Epharmix</v>
      </c>
      <c r="B2750" s="4" t="s">
        <v>3279</v>
      </c>
      <c r="C2750" s="8" t="s">
        <v>5</v>
      </c>
      <c r="D2750" s="11" t="s">
        <v>294</v>
      </c>
    </row>
    <row r="2751" spans="1:4" ht="30">
      <c r="A2751" s="5" t="str">
        <f>HYPERLINK("https://www.oit.va.gov/Services/TRM/ToolPage.aspx?tid=11505^","Ephesoft Transact")</f>
        <v>Ephesoft Transact</v>
      </c>
      <c r="B2751" s="4" t="s">
        <v>678</v>
      </c>
      <c r="C2751" s="8" t="s">
        <v>5</v>
      </c>
      <c r="D2751" s="11" t="s">
        <v>679</v>
      </c>
    </row>
    <row r="2752" spans="1:4" ht="30">
      <c r="A2752" s="5" t="str">
        <f>HYPERLINK("https://www.oit.va.gov/Services/TRM/ToolPage.aspx?tid=16150^","Epic Games Launcher")</f>
        <v>Epic Games Launcher</v>
      </c>
      <c r="B2752" s="4" t="s">
        <v>3280</v>
      </c>
      <c r="C2752" s="8" t="s">
        <v>5</v>
      </c>
      <c r="D2752" s="11" t="s">
        <v>3281</v>
      </c>
    </row>
    <row r="2753" spans="1:4" ht="30">
      <c r="A2753" s="5" t="str">
        <f>HYPERLINK("https://www.oit.va.gov/Services/TRM/ToolPage.aspx?tid=10776^","Epic Cadence Enterprise Scheduling Software")</f>
        <v>Epic Cadence Enterprise Scheduling Software</v>
      </c>
      <c r="B2753" s="4" t="s">
        <v>1162</v>
      </c>
      <c r="C2753" s="8" t="s">
        <v>5</v>
      </c>
      <c r="D2753" s="11" t="s">
        <v>1163</v>
      </c>
    </row>
    <row r="2754" spans="1:4" ht="30">
      <c r="A2754" s="5" t="str">
        <f>HYPERLINK("https://www.oit.va.gov/Services/TRM/ToolPage.aspx?tid=14671^","Epicure Digital Centra Menu System")</f>
        <v>Epicure Digital Centra Menu System</v>
      </c>
      <c r="B2754" s="4" t="s">
        <v>5794</v>
      </c>
      <c r="C2754" s="8" t="s">
        <v>5</v>
      </c>
      <c r="D2754" s="11" t="s">
        <v>5795</v>
      </c>
    </row>
    <row r="2755" spans="1:4" ht="30">
      <c r="A2755" s="5" t="str">
        <f>HYPERLINK("https://www.oit.va.gov/Services/TRM/ToolPage.aspx?tid=6664^","EpiData")</f>
        <v>EpiData</v>
      </c>
      <c r="B2755" s="4" t="s">
        <v>3109</v>
      </c>
      <c r="C2755" s="8" t="s">
        <v>5</v>
      </c>
      <c r="D2755" s="11" t="s">
        <v>3110</v>
      </c>
    </row>
    <row r="2756" spans="1:4" ht="30">
      <c r="A2756" s="5" t="str">
        <f>HYPERLINK("https://www.oit.va.gov/Services/TRM/ToolPage.aspx?tid=15474^","LabWriter")</f>
        <v>LabWriter</v>
      </c>
      <c r="B2756" s="4" t="s">
        <v>4347</v>
      </c>
      <c r="C2756" s="8" t="s">
        <v>5</v>
      </c>
      <c r="D2756" s="11" t="s">
        <v>4320</v>
      </c>
    </row>
    <row r="2757" spans="1:4" ht="30">
      <c r="A2757" s="5" t="str">
        <f>HYPERLINK("https://www.oit.va.gov/Services/TRM/ToolPage.aspx?tid=11017^","Epson Print Layout")</f>
        <v>Epson Print Layout</v>
      </c>
      <c r="B2757" s="4" t="s">
        <v>2119</v>
      </c>
      <c r="C2757" s="8" t="s">
        <v>5</v>
      </c>
      <c r="D2757" s="11" t="s">
        <v>519</v>
      </c>
    </row>
    <row r="2758" spans="1:4" ht="30">
      <c r="A2758" s="5" t="str">
        <f>HYPERLINK("https://www.oit.va.gov/Services/TRM/ToolPage.aspx?tid=16417^","Epson Photo+")</f>
        <v>Epson Photo+</v>
      </c>
      <c r="B2758" s="4" t="s">
        <v>2119</v>
      </c>
      <c r="C2758" s="8" t="s">
        <v>5</v>
      </c>
      <c r="D2758" s="11" t="s">
        <v>4104</v>
      </c>
    </row>
    <row r="2759" spans="1:4" ht="30">
      <c r="A2759" s="5" t="str">
        <f>HYPERLINK("https://www.oit.va.gov/Services/TRM/ToolPage.aspx?tid=16394^","Epson Scan 2")</f>
        <v>Epson Scan 2</v>
      </c>
      <c r="B2759" s="4" t="s">
        <v>2119</v>
      </c>
      <c r="C2759" s="8" t="s">
        <v>5</v>
      </c>
      <c r="D2759" s="11" t="s">
        <v>1483</v>
      </c>
    </row>
    <row r="2760" spans="1:4" ht="30">
      <c r="A2760" s="5" t="str">
        <f>HYPERLINK("https://www.oit.va.gov/Services/TRM/ToolPage.aspx?tid=16390^","Epson ScanSmart")</f>
        <v>Epson ScanSmart</v>
      </c>
      <c r="B2760" s="4" t="s">
        <v>2119</v>
      </c>
      <c r="C2760" s="8" t="s">
        <v>5</v>
      </c>
      <c r="D2760" s="11" t="s">
        <v>4105</v>
      </c>
    </row>
    <row r="2761" spans="1:4" ht="30">
      <c r="A2761" s="5" t="str">
        <f>HYPERLINK("https://www.oit.va.gov/Services/TRM/ToolPage.aspx?tid=14153^","Epson Universal Serial Bus (USB) Display")</f>
        <v>Epson Universal Serial Bus (USB) Display</v>
      </c>
      <c r="B2761" s="4" t="s">
        <v>2119</v>
      </c>
      <c r="C2761" s="8" t="s">
        <v>5</v>
      </c>
      <c r="D2761" s="11" t="s">
        <v>999</v>
      </c>
    </row>
    <row r="2762" spans="1:4" ht="30">
      <c r="A2762" s="5" t="str">
        <f>HYPERLINK("https://www.oit.va.gov/Services/TRM/ToolPage.aspx?tid=14616^","TWAIN Driver and EPSON Scan Utility")</f>
        <v>TWAIN Driver and EPSON Scan Utility</v>
      </c>
      <c r="B2762" s="4" t="s">
        <v>2119</v>
      </c>
      <c r="C2762" s="8" t="s">
        <v>5</v>
      </c>
      <c r="D2762" s="11" t="s">
        <v>890</v>
      </c>
    </row>
    <row r="2763" spans="1:4" ht="30">
      <c r="A2763" s="5" t="str">
        <f>HYPERLINK("https://www.oit.va.gov/Services/TRM/ToolPage.aspx?tid=10491^","Document Capture Pro")</f>
        <v>Document Capture Pro</v>
      </c>
      <c r="B2763" s="4" t="s">
        <v>2119</v>
      </c>
      <c r="C2763" s="8" t="s">
        <v>5</v>
      </c>
      <c r="D2763" s="11" t="s">
        <v>672</v>
      </c>
    </row>
    <row r="2764" spans="1:4" ht="30">
      <c r="A2764" s="5" t="str">
        <f>HYPERLINK("https://www.oit.va.gov/Services/TRM/ToolPage.aspx?tid=8004^","Epson Easy Interactive Tools")</f>
        <v>Epson Easy Interactive Tools</v>
      </c>
      <c r="B2764" s="4" t="s">
        <v>2119</v>
      </c>
      <c r="C2764" s="8" t="s">
        <v>5</v>
      </c>
      <c r="D2764" s="11" t="s">
        <v>397</v>
      </c>
    </row>
    <row r="2765" spans="1:4" ht="30">
      <c r="A2765" s="5" t="str">
        <f>HYPERLINK("https://www.oit.va.gov/Services/TRM/ToolPage.aspx?tid=10846^","Epson Software Updater")</f>
        <v>Epson Software Updater</v>
      </c>
      <c r="B2765" s="4" t="s">
        <v>2119</v>
      </c>
      <c r="C2765" s="8" t="s">
        <v>5</v>
      </c>
      <c r="D2765" s="11" t="s">
        <v>5183</v>
      </c>
    </row>
    <row r="2766" spans="1:4" ht="30">
      <c r="A2766" s="5" t="str">
        <f>HYPERLINK("https://www.oit.va.gov/Services/TRM/ToolPage.aspx?tid=16333^","Epson Event Manager Software")</f>
        <v>Epson Event Manager Software</v>
      </c>
      <c r="B2766" s="4" t="s">
        <v>2119</v>
      </c>
      <c r="C2766" s="8" t="s">
        <v>5</v>
      </c>
      <c r="D2766" s="11" t="s">
        <v>992</v>
      </c>
    </row>
    <row r="2767" spans="1:4" ht="30">
      <c r="A2767" s="5" t="str">
        <f>HYPERLINK("https://www.oit.va.gov/Services/TRM/ToolPage.aspx?tid=10994^","EpsonNet Config")</f>
        <v>EpsonNet Config</v>
      </c>
      <c r="B2767" s="4" t="s">
        <v>2119</v>
      </c>
      <c r="C2767" s="8" t="s">
        <v>5</v>
      </c>
      <c r="D2767" s="11" t="s">
        <v>6186</v>
      </c>
    </row>
    <row r="2768" spans="1:4" ht="30">
      <c r="A2768" s="5" t="str">
        <f>HYPERLINK("https://www.oit.va.gov/Services/TRM/ToolPage.aspx?tid=16265^","Epson ReadyInk Agent")</f>
        <v>Epson ReadyInk Agent</v>
      </c>
      <c r="B2768" s="4" t="s">
        <v>2119</v>
      </c>
      <c r="C2768" s="8" t="s">
        <v>5</v>
      </c>
      <c r="D2768" s="11" t="s">
        <v>985</v>
      </c>
    </row>
    <row r="2769" spans="1:4" ht="30">
      <c r="A2769" s="5" t="str">
        <f>HYPERLINK("https://www.oit.va.gov/Services/TRM/ToolPage.aspx?tid=16255^","EpsonNet Print")</f>
        <v>EpsonNet Print</v>
      </c>
      <c r="B2769" s="4" t="s">
        <v>2119</v>
      </c>
      <c r="C2769" s="8" t="s">
        <v>5</v>
      </c>
      <c r="D2769" s="11" t="s">
        <v>6583</v>
      </c>
    </row>
    <row r="2770" spans="1:4" ht="30">
      <c r="A2770" s="5" t="str">
        <f>HYPERLINK("https://www.oit.va.gov/Services/TRM/ToolPage.aspx?tid=11244^","Direct Compact Disc/Digital Video Disc (CD/DVD) Printing")</f>
        <v>Direct Compact Disc/Digital Video Disc (CD/DVD) Printing</v>
      </c>
      <c r="B2770" s="4" t="s">
        <v>2119</v>
      </c>
      <c r="C2770" s="8" t="s">
        <v>5</v>
      </c>
      <c r="D2770" s="11" t="s">
        <v>7773</v>
      </c>
    </row>
    <row r="2771" spans="1:4" ht="30">
      <c r="A2771" s="5" t="str">
        <f>HYPERLINK("https://www.oit.va.gov/Services/TRM/ToolPage.aspx?tid=14387^","Epson Copy Utility")</f>
        <v>Epson Copy Utility</v>
      </c>
      <c r="B2771" s="4" t="s">
        <v>2119</v>
      </c>
      <c r="C2771" s="8" t="s">
        <v>5</v>
      </c>
      <c r="D2771" s="11" t="s">
        <v>5831</v>
      </c>
    </row>
    <row r="2772" spans="1:4" ht="30">
      <c r="A2772" s="5" t="str">
        <f>HYPERLINK("https://www.oit.va.gov/Services/TRM/ToolPage.aspx?tid=16428^","Epson Customer Participation")</f>
        <v>Epson Customer Participation</v>
      </c>
      <c r="B2772" s="4" t="s">
        <v>2119</v>
      </c>
      <c r="C2772" s="8" t="s">
        <v>5</v>
      </c>
      <c r="D2772" s="11" t="s">
        <v>4104</v>
      </c>
    </row>
    <row r="2773" spans="1:4" ht="30">
      <c r="A2773" s="5" t="str">
        <f>HYPERLINK("https://www.oit.va.gov/Services/TRM/ToolPage.aspx?tid=16426^","Epson Fax Utility")</f>
        <v>Epson Fax Utility</v>
      </c>
      <c r="B2773" s="4" t="s">
        <v>2119</v>
      </c>
      <c r="C2773" s="8" t="s">
        <v>5</v>
      </c>
      <c r="D2773" s="11" t="s">
        <v>4747</v>
      </c>
    </row>
    <row r="2774" spans="1:4" ht="30">
      <c r="A2774" s="5" t="str">
        <f>HYPERLINK("https://www.oit.va.gov/Services/TRM/ToolPage.aspx?tid=13150^","Epson Scan Updater")</f>
        <v>Epson Scan Updater</v>
      </c>
      <c r="B2774" s="4" t="s">
        <v>2119</v>
      </c>
      <c r="C2774" s="8" t="s">
        <v>5</v>
      </c>
      <c r="D2774" s="11" t="s">
        <v>6486</v>
      </c>
    </row>
    <row r="2775" spans="1:4" ht="30">
      <c r="A2775" s="5" t="str">
        <f>HYPERLINK("https://www.oit.va.gov/Services/TRM/ToolPage.aspx?tid=16720^","Equature")</f>
        <v>Equature</v>
      </c>
      <c r="B2775" s="4" t="s">
        <v>1531</v>
      </c>
      <c r="C2775" s="8" t="s">
        <v>5</v>
      </c>
      <c r="D2775" s="11" t="s">
        <v>1532</v>
      </c>
    </row>
    <row r="2776" spans="1:4" ht="30">
      <c r="A2776" s="5" t="str">
        <f>HYPERLINK("https://www.oit.va.gov/Services/TRM/ToolPage.aspx?tid=13667^","Maine Crash Reporting System (MCRS)")</f>
        <v>Maine Crash Reporting System (MCRS)</v>
      </c>
      <c r="B2776" s="4" t="s">
        <v>4386</v>
      </c>
      <c r="C2776" s="8" t="s">
        <v>5</v>
      </c>
      <c r="D2776" s="11" t="s">
        <v>3241</v>
      </c>
    </row>
    <row r="2777" spans="1:4" ht="30">
      <c r="A2777" s="5" t="str">
        <f>HYPERLINK("https://www.oit.va.gov/Services/TRM/ToolPage.aspx?tid=5843^","Anakam")</f>
        <v>Anakam</v>
      </c>
      <c r="B2777" s="4" t="s">
        <v>4386</v>
      </c>
      <c r="C2777" s="8" t="s">
        <v>5</v>
      </c>
      <c r="D2777" s="11" t="s">
        <v>7440</v>
      </c>
    </row>
    <row r="2778" spans="1:4" ht="30">
      <c r="A2778" s="5" t="str">
        <f>HYPERLINK("https://www.oit.va.gov/Services/TRM/ToolPage.aspx?tid=6785^","Zetafax")</f>
        <v>Zetafax</v>
      </c>
      <c r="B2778" s="4" t="s">
        <v>3653</v>
      </c>
      <c r="C2778" s="8" t="s">
        <v>5</v>
      </c>
      <c r="D2778" s="11" t="s">
        <v>2408</v>
      </c>
    </row>
    <row r="2779" spans="1:4" ht="30">
      <c r="A2779" s="5" t="str">
        <f>HYPERLINK("https://www.oit.va.gov/Services/TRM/ToolPage.aspx?tid=14217^","Equivital Manager")</f>
        <v>Equivital Manager</v>
      </c>
      <c r="B2779" s="4" t="s">
        <v>2245</v>
      </c>
      <c r="C2779" s="8" t="s">
        <v>5</v>
      </c>
      <c r="D2779" s="11" t="s">
        <v>2246</v>
      </c>
    </row>
    <row r="2780" spans="1:4" ht="30">
      <c r="A2780" s="5" t="str">
        <f>HYPERLINK("https://www.oit.va.gov/Services/TRM/ToolPage.aspx?tid=9444^","Information Technology Management Center (ITMC) Discovery")</f>
        <v>Information Technology Management Center (ITMC) Discovery</v>
      </c>
      <c r="B2780" s="4" t="s">
        <v>5247</v>
      </c>
      <c r="C2780" s="8" t="s">
        <v>5</v>
      </c>
      <c r="D2780" s="11" t="s">
        <v>5248</v>
      </c>
    </row>
    <row r="2781" spans="1:4" ht="30">
      <c r="A2781" s="5" t="str">
        <f>HYPERLINK("https://www.oit.va.gov/Services/TRM/ToolPage.aspx?tid=15273^","eRAD PACS viewer")</f>
        <v>eRAD PACS viewer</v>
      </c>
      <c r="B2781" s="4" t="s">
        <v>5796</v>
      </c>
      <c r="C2781" s="8" t="s">
        <v>5</v>
      </c>
      <c r="D2781" s="11" t="s">
        <v>5797</v>
      </c>
    </row>
    <row r="2782" spans="1:4" ht="30">
      <c r="A2782" s="5" t="str">
        <f>HYPERLINK("https://www.oit.va.gov/Services/TRM/ToolPage.aspx?tid=13607^","Physical Work Performance Evaluation (PWPE)")</f>
        <v>Physical Work Performance Evaluation (PWPE)</v>
      </c>
      <c r="B2782" s="4" t="s">
        <v>8430</v>
      </c>
      <c r="C2782" s="8" t="s">
        <v>5</v>
      </c>
      <c r="D2782" s="11" t="s">
        <v>7008</v>
      </c>
    </row>
    <row r="2783" spans="1:4" ht="30">
      <c r="A2783" s="5" t="str">
        <f>HYPERLINK("https://www.oit.va.gov/Services/TRM/ToolPage.aspx?tid=13734^","eKinnex")</f>
        <v>eKinnex</v>
      </c>
      <c r="B2783" s="4" t="s">
        <v>2536</v>
      </c>
      <c r="C2783" s="8" t="s">
        <v>5</v>
      </c>
      <c r="D2783" s="11" t="s">
        <v>827</v>
      </c>
    </row>
    <row r="2784" spans="1:4" ht="30">
      <c r="A2784" s="5" t="str">
        <f>HYPERLINK("https://www.oit.va.gov/Services/TRM/ToolPage.aspx?tid=14791^","Factorial Mass Univariate Toolbox (FMUT)")</f>
        <v>Factorial Mass Univariate Toolbox (FMUT)</v>
      </c>
      <c r="B2784" s="4" t="s">
        <v>6604</v>
      </c>
      <c r="C2784" s="8" t="s">
        <v>5</v>
      </c>
      <c r="D2784" s="11" t="s">
        <v>4285</v>
      </c>
    </row>
    <row r="2785" spans="1:4" ht="30">
      <c r="A2785" s="5" t="str">
        <f>HYPERLINK("https://www.oit.va.gov/Services/TRM/ToolPage.aspx?tid=12958^","Sandcastle Help File Builder (SHFB)")</f>
        <v>Sandcastle Help File Builder (SHFB)</v>
      </c>
      <c r="B2785" s="4" t="s">
        <v>2931</v>
      </c>
      <c r="C2785" s="8" t="s">
        <v>5</v>
      </c>
      <c r="D2785" s="11" t="s">
        <v>2932</v>
      </c>
    </row>
    <row r="2786" spans="1:4" ht="30">
      <c r="A2786" s="5" t="str">
        <f>HYPERLINK("https://www.oit.va.gov/Services/TRM/ToolPage.aspx?tid=11720^","PECmd")</f>
        <v>PECmd</v>
      </c>
      <c r="B2786" s="4" t="s">
        <v>2844</v>
      </c>
      <c r="C2786" s="8" t="s">
        <v>5</v>
      </c>
      <c r="D2786" s="11" t="s">
        <v>2845</v>
      </c>
    </row>
    <row r="2787" spans="1:4" ht="30">
      <c r="A2787" s="5" t="str">
        <f>HYPERLINK("https://www.oit.va.gov/Services/TRM/ToolPage.aspx?tid=11730^","Timeline Explorer (EZ Tools)")</f>
        <v>Timeline Explorer (EZ Tools)</v>
      </c>
      <c r="B2787" s="4" t="s">
        <v>2844</v>
      </c>
      <c r="C2787" s="8" t="s">
        <v>5</v>
      </c>
      <c r="D2787" s="11" t="s">
        <v>3024</v>
      </c>
    </row>
    <row r="2788" spans="1:4" ht="30">
      <c r="A2788" s="5" t="str">
        <f>HYPERLINK("https://www.oit.va.gov/Services/TRM/ToolPage.aspx?tid=10987^","AppCompatCacheParser")</f>
        <v>AppCompatCacheParser</v>
      </c>
      <c r="B2788" s="4" t="s">
        <v>2844</v>
      </c>
      <c r="C2788" s="8" t="s">
        <v>5</v>
      </c>
      <c r="D2788" s="11" t="s">
        <v>3763</v>
      </c>
    </row>
    <row r="2789" spans="1:4" ht="30">
      <c r="A2789" s="5" t="str">
        <f>HYPERLINK("https://www.oit.va.gov/Services/TRM/ToolPage.aspx?tid=16117^","Hasher (EZ Tools)")</f>
        <v>Hasher (EZ Tools)</v>
      </c>
      <c r="B2789" s="4" t="s">
        <v>2844</v>
      </c>
      <c r="C2789" s="8" t="s">
        <v>5</v>
      </c>
      <c r="D2789" s="11" t="s">
        <v>2244</v>
      </c>
    </row>
    <row r="2790" spans="1:4" ht="30">
      <c r="A2790" s="5" t="str">
        <f>HYPERLINK("https://www.oit.va.gov/Services/TRM/ToolPage.aspx?tid=14977^","Windows 10 Timeline database parser (WxTCmd) (EZ Tools)")</f>
        <v>Windows 10 Timeline database parser (WxTCmd) (EZ Tools)</v>
      </c>
      <c r="B2790" s="4" t="s">
        <v>2844</v>
      </c>
      <c r="C2790" s="8" t="s">
        <v>5</v>
      </c>
      <c r="D2790" s="11" t="s">
        <v>3024</v>
      </c>
    </row>
    <row r="2791" spans="1:4" ht="30">
      <c r="A2791" s="5" t="str">
        <f>HYPERLINK("https://www.oit.va.gov/Services/TRM/StandardPage.aspx?tid=11259^","Erlang Programming Language")</f>
        <v>Erlang Programming Language</v>
      </c>
      <c r="B2791" s="4" t="s">
        <v>6586</v>
      </c>
      <c r="C2791" s="8" t="s">
        <v>5</v>
      </c>
      <c r="D2791" s="11" t="s">
        <v>668</v>
      </c>
    </row>
    <row r="2792" spans="1:4" ht="30">
      <c r="A2792" s="5" t="str">
        <f>HYPERLINK("https://www.oit.va.gov/Services/TRM/ToolPage.aspx?tid=14077^","SUPER (Simplified Universal Player Encoder &amp; Renderer)")</f>
        <v>SUPER (Simplified Universal Player Encoder &amp; Renderer)</v>
      </c>
      <c r="B2792" s="4" t="s">
        <v>8758</v>
      </c>
      <c r="C2792" s="8" t="s">
        <v>5</v>
      </c>
      <c r="D2792" s="11" t="s">
        <v>8542</v>
      </c>
    </row>
    <row r="2793" spans="1:4" ht="30">
      <c r="A2793" s="5" t="str">
        <f>HYPERLINK("https://www.oit.va.gov/Services/TRM/ToolPage.aspx?tid=11242^","Erlang Open Telecom Platform (OTP)")</f>
        <v>Erlang Open Telecom Platform (OTP)</v>
      </c>
      <c r="B2793" s="4" t="s">
        <v>2559</v>
      </c>
      <c r="C2793" s="8" t="s">
        <v>5</v>
      </c>
      <c r="D2793" s="11" t="s">
        <v>2560</v>
      </c>
    </row>
    <row r="2794" spans="1:4" ht="30">
      <c r="A2794" s="5" t="str">
        <f>HYPERLINK("https://www.oit.va.gov/Services/TRM/ToolPage.aspx?tid=14836^","Erlang Calculator")</f>
        <v>Erlang Calculator</v>
      </c>
      <c r="B2794" s="4" t="s">
        <v>2559</v>
      </c>
      <c r="C2794" s="8" t="s">
        <v>5</v>
      </c>
      <c r="D2794" s="11" t="s">
        <v>7774</v>
      </c>
    </row>
    <row r="2795" spans="1:4" ht="30">
      <c r="A2795" s="5" t="str">
        <f>HYPERLINK("https://www.oit.va.gov/Services/TRM/ToolPage.aspx?tid=14774^","Enterprise Resource Planning Lab (ERPLAB)")</f>
        <v>Enterprise Resource Planning Lab (ERPLAB)</v>
      </c>
      <c r="B2795" s="4" t="s">
        <v>5178</v>
      </c>
      <c r="C2795" s="8" t="s">
        <v>5</v>
      </c>
      <c r="D2795" s="11" t="s">
        <v>5179</v>
      </c>
    </row>
    <row r="2796" spans="1:4" ht="30">
      <c r="A2796" s="5" t="str">
        <f>HYPERLINK("https://www.oit.va.gov/Services/TRM/ToolPage.aspx?tid=185^","erwin Data Modeler")</f>
        <v>erwin Data Modeler</v>
      </c>
      <c r="B2796" s="4" t="s">
        <v>2561</v>
      </c>
      <c r="C2796" s="8" t="s">
        <v>5</v>
      </c>
      <c r="D2796" s="11" t="s">
        <v>36</v>
      </c>
    </row>
    <row r="2797" spans="1:4" ht="30">
      <c r="A2797" s="5" t="str">
        <f>HYPERLINK("https://www.oit.va.gov/Services/TRM/ToolPage.aspx?tid=16751^","Enterprise Secure Chat")</f>
        <v>Enterprise Secure Chat</v>
      </c>
      <c r="B2797" s="4" t="s">
        <v>2552</v>
      </c>
      <c r="C2797" s="8" t="s">
        <v>5</v>
      </c>
      <c r="D2797" s="11" t="s">
        <v>2553</v>
      </c>
    </row>
    <row r="2798" spans="1:4" ht="30">
      <c r="A2798" s="5" t="str">
        <f>HYPERLINK("https://www.oit.va.gov/Services/TRM/ToolPage.aspx?tid=13623^","ESET Smart Security Premium")</f>
        <v>ESET Smart Security Premium</v>
      </c>
      <c r="B2798" s="4" t="s">
        <v>7871</v>
      </c>
      <c r="C2798" s="8" t="s">
        <v>5</v>
      </c>
      <c r="D2798" s="11" t="s">
        <v>7872</v>
      </c>
    </row>
    <row r="2799" spans="1:4" ht="30">
      <c r="A2799" s="5" t="str">
        <f>HYPERLINK("https://www.oit.va.gov/Services/TRM/ToolPage.aspx?tid=11479^","NOD32 Anti-Virus")</f>
        <v>NOD32 Anti-Virus</v>
      </c>
      <c r="B2799" s="4" t="s">
        <v>7871</v>
      </c>
      <c r="C2799" s="8" t="s">
        <v>5</v>
      </c>
      <c r="D2799" s="11" t="s">
        <v>7272</v>
      </c>
    </row>
    <row r="2800" spans="1:4" ht="30">
      <c r="A2800" s="5" t="str">
        <f>HYPERLINK("https://www.oit.va.gov/Services/TRM/ToolPage.aspx?tid=6157^","Food Processor Nutrition Analysis Software")</f>
        <v>Food Processor Nutrition Analysis Software</v>
      </c>
      <c r="B2800" s="4" t="s">
        <v>688</v>
      </c>
      <c r="C2800" s="8" t="s">
        <v>5</v>
      </c>
      <c r="D2800" s="11" t="s">
        <v>689</v>
      </c>
    </row>
    <row r="2801" spans="1:4" ht="30">
      <c r="A2801" s="5" t="str">
        <f>HYPERLINK("https://www.oit.va.gov/Services/TRM/ToolPage.aspx?tid=5726^","SmarTerm Essential")</f>
        <v>SmarTerm Essential</v>
      </c>
      <c r="B2801" s="4" t="s">
        <v>7152</v>
      </c>
      <c r="C2801" s="8" t="s">
        <v>5</v>
      </c>
      <c r="D2801" s="11" t="s">
        <v>3384</v>
      </c>
    </row>
    <row r="2802" spans="1:4" ht="30">
      <c r="A2802" s="5" t="str">
        <f>HYPERLINK("https://www.oit.va.gov/Services/TRM/ToolPage.aspx?tid=5727^","SmarTerm Office")</f>
        <v>SmarTerm Office</v>
      </c>
      <c r="B2802" s="4" t="s">
        <v>7152</v>
      </c>
      <c r="C2802" s="8" t="s">
        <v>5</v>
      </c>
      <c r="D2802" s="11" t="s">
        <v>1167</v>
      </c>
    </row>
    <row r="2803" spans="1:4" ht="30">
      <c r="A2803" s="5" t="str">
        <f>HYPERLINK("https://www.oit.va.gov/Services/TRM/ToolPage.aspx?tid=10630^","Performance focused Service Oriented Network monitoring ARchitecture (perfSONAR)")</f>
        <v>Performance focused Service Oriented Network monitoring ARchitecture (perfSONAR)</v>
      </c>
      <c r="B2803" s="4" t="s">
        <v>3449</v>
      </c>
      <c r="C2803" s="8" t="s">
        <v>5</v>
      </c>
      <c r="D2803" s="11" t="s">
        <v>1400</v>
      </c>
    </row>
    <row r="2804" spans="1:4" ht="30">
      <c r="A2804" s="5" t="str">
        <f>HYPERLINK("https://www.oit.va.gov/Services/TRM/ToolPage.aspx?tid=15003^","iperf")</f>
        <v>iperf</v>
      </c>
      <c r="B2804" s="4" t="s">
        <v>3449</v>
      </c>
      <c r="C2804" s="8" t="s">
        <v>5</v>
      </c>
      <c r="D2804" s="11" t="s">
        <v>4282</v>
      </c>
    </row>
    <row r="2805" spans="1:4" ht="30">
      <c r="A2805" s="5" t="str">
        <f>HYPERLINK("https://www.oit.va.gov/Services/TRM/ToolPage.aspx?tid=6241^","Arc Geographic Information System (ArcGIS) Enterprise")</f>
        <v>Arc Geographic Information System (ArcGIS) Enterprise</v>
      </c>
      <c r="B2805" s="4" t="s">
        <v>575</v>
      </c>
      <c r="C2805" s="8" t="s">
        <v>5</v>
      </c>
      <c r="D2805" s="11" t="s">
        <v>576</v>
      </c>
    </row>
    <row r="2806" spans="1:4" ht="30">
      <c r="A2806" s="5" t="str">
        <f>HYPERLINK("https://www.oit.va.gov/Services/TRM/ToolPage.aspx?tid=5558^","Arc Geographic Information System (ArcGIS) for Desktop")</f>
        <v>Arc Geographic Information System (ArcGIS) for Desktop</v>
      </c>
      <c r="B2806" s="4" t="s">
        <v>575</v>
      </c>
      <c r="C2806" s="8" t="s">
        <v>5</v>
      </c>
      <c r="D2806" s="11" t="s">
        <v>1310</v>
      </c>
    </row>
    <row r="2807" spans="1:4" ht="30">
      <c r="A2807" s="5" t="str">
        <f>HYPERLINK("https://www.oit.va.gov/Services/TRM/ToolPage.aspx?tid=15803^","Arc Geographical Information System (ArcGIS) Monitor")</f>
        <v>Arc Geographical Information System (ArcGIS) Monitor</v>
      </c>
      <c r="B2807" s="4" t="s">
        <v>575</v>
      </c>
      <c r="C2807" s="8" t="s">
        <v>5</v>
      </c>
      <c r="D2807" s="11" t="s">
        <v>1311</v>
      </c>
    </row>
    <row r="2808" spans="1:4" ht="30">
      <c r="A2808" s="5" t="str">
        <f>HYPERLINK("https://www.oit.va.gov/Services/TRM/ToolPage.aspx?tid=15766^","Arc Geographic Information System (ArcGIS) Indoors")</f>
        <v>Arc Geographic Information System (ArcGIS) Indoors</v>
      </c>
      <c r="B2808" s="4" t="s">
        <v>575</v>
      </c>
      <c r="C2808" s="8" t="s">
        <v>5</v>
      </c>
      <c r="D2808" s="11" t="s">
        <v>1144</v>
      </c>
    </row>
    <row r="2809" spans="1:4" ht="30">
      <c r="A2809" s="5" t="str">
        <f>HYPERLINK("https://www.oit.va.gov/Services/TRM/ToolPage.aspx?tid=15391^","Arc Geographic Information System (ArcGIS) Pro")</f>
        <v>Arc Geographic Information System (ArcGIS) Pro</v>
      </c>
      <c r="B2809" s="4" t="s">
        <v>575</v>
      </c>
      <c r="C2809" s="8" t="s">
        <v>5</v>
      </c>
      <c r="D2809" s="11" t="s">
        <v>3769</v>
      </c>
    </row>
    <row r="2810" spans="1:4" ht="30">
      <c r="A2810" s="5" t="str">
        <f>HYPERLINK("https://www.oit.va.gov/Services/TRM/ToolPage.aspx?tid=9771^","Arc Geographic Information System (ArcGIS) Production Mapping")</f>
        <v>Arc Geographic Information System (ArcGIS) Production Mapping</v>
      </c>
      <c r="B2810" s="4" t="s">
        <v>575</v>
      </c>
      <c r="C2810" s="8" t="s">
        <v>5</v>
      </c>
      <c r="D2810" s="11" t="s">
        <v>2996</v>
      </c>
    </row>
    <row r="2811" spans="1:4" ht="30">
      <c r="A2811" s="5" t="str">
        <f>HYPERLINK("https://www.oit.va.gov/Services/TRM/ToolPage.aspx?tid=15214^","Arc Geographic Information System (ArcGIS) Survey 123 Connect")</f>
        <v>Arc Geographic Information System (ArcGIS) Survey 123 Connect</v>
      </c>
      <c r="B2811" s="4" t="s">
        <v>575</v>
      </c>
      <c r="C2811" s="8" t="s">
        <v>5</v>
      </c>
      <c r="D2811" s="11" t="s">
        <v>679</v>
      </c>
    </row>
    <row r="2812" spans="1:4" ht="30">
      <c r="A2812" s="5" t="str">
        <f>HYPERLINK("https://www.oit.va.gov/Services/TRM/ToolPage.aspx?tid=16636^","ArcGIS Maps for Adobe Creative Cloud")</f>
        <v>ArcGIS Maps for Adobe Creative Cloud</v>
      </c>
      <c r="B2812" s="4" t="s">
        <v>575</v>
      </c>
      <c r="C2812" s="8" t="s">
        <v>5</v>
      </c>
      <c r="D2812" s="11" t="s">
        <v>1765</v>
      </c>
    </row>
    <row r="2813" spans="1:4" ht="30">
      <c r="A2813" s="5" t="str">
        <f>HYPERLINK("https://www.oit.va.gov/Services/TRM/ToolPage.aspx?tid=10154^","ArcGIS Maps for Office")</f>
        <v>ArcGIS Maps for Office</v>
      </c>
      <c r="B2813" s="4" t="s">
        <v>575</v>
      </c>
      <c r="C2813" s="8" t="s">
        <v>5</v>
      </c>
      <c r="D2813" s="11" t="s">
        <v>4484</v>
      </c>
    </row>
    <row r="2814" spans="1:4" ht="30">
      <c r="A2814" s="5" t="str">
        <f>HYPERLINK("https://www.oit.va.gov/Services/TRM/ToolPage.aspx?tid=6465^","ArcGIS Application Program Interface (API) for Flex")</f>
        <v>ArcGIS Application Program Interface (API) for Flex</v>
      </c>
      <c r="B2814" s="4" t="s">
        <v>575</v>
      </c>
      <c r="C2814" s="8" t="s">
        <v>5</v>
      </c>
      <c r="D2814" s="11" t="s">
        <v>3492</v>
      </c>
    </row>
    <row r="2815" spans="1:4" ht="30">
      <c r="A2815" s="5" t="str">
        <f>HYPERLINK("https://www.oit.va.gov/Services/TRM/ToolPage.aspx?tid=14618^","Multi Portable Document Format (PDF) Converter")</f>
        <v>Multi Portable Document Format (PDF) Converter</v>
      </c>
      <c r="B2815" s="4" t="s">
        <v>8288</v>
      </c>
      <c r="C2815" s="8" t="s">
        <v>5</v>
      </c>
      <c r="D2815" s="11" t="s">
        <v>7341</v>
      </c>
    </row>
    <row r="2816" spans="1:4" ht="30">
      <c r="A2816" s="5" t="str">
        <f>HYPERLINK("https://www.oit.va.gov/Services/TRM/ToolPage.aspx?tid=6960^","Estrada Content Management System (CMS)")</f>
        <v>Estrada Content Management System (CMS)</v>
      </c>
      <c r="B2816" s="4" t="s">
        <v>7875</v>
      </c>
      <c r="C2816" s="8" t="s">
        <v>5</v>
      </c>
      <c r="D2816" s="11" t="s">
        <v>7876</v>
      </c>
    </row>
    <row r="2817" spans="1:4" ht="30">
      <c r="A2817" s="5" t="str">
        <f>HYPERLINK("https://www.oit.va.gov/Services/TRM/ToolPage.aspx?tid=13952^","NTFS Undelete")</f>
        <v>NTFS Undelete</v>
      </c>
      <c r="B2817" s="4" t="s">
        <v>8346</v>
      </c>
      <c r="C2817" s="8" t="s">
        <v>5</v>
      </c>
      <c r="D2817" s="11" t="s">
        <v>3384</v>
      </c>
    </row>
    <row r="2818" spans="1:4" ht="30">
      <c r="A2818" s="5" t="str">
        <f>HYPERLINK("https://www.oit.va.gov/Services/TRM/ToolPage.aspx?tid=15432^","eVue Laundry System")</f>
        <v>eVue Laundry System</v>
      </c>
      <c r="B2818" s="4" t="s">
        <v>515</v>
      </c>
      <c r="C2818" s="8" t="s">
        <v>5</v>
      </c>
      <c r="D2818" s="11" t="s">
        <v>516</v>
      </c>
    </row>
    <row r="2819" spans="1:4" ht="30">
      <c r="A2819" s="5" t="str">
        <f>HYPERLINK("https://www.oit.va.gov/Services/TRM/ToolPage.aspx?tid=14081^","Sweet Home 3D")</f>
        <v>Sweet Home 3D</v>
      </c>
      <c r="B2819" s="4" t="s">
        <v>8762</v>
      </c>
      <c r="C2819" s="8" t="s">
        <v>5</v>
      </c>
      <c r="D2819" s="11" t="s">
        <v>8763</v>
      </c>
    </row>
    <row r="2820" spans="1:4" ht="30">
      <c r="A2820" s="5" t="str">
        <f>HYPERLINK("https://www.oit.va.gov/Services/TRM/ToolPage.aspx?tid=8698^","Etherpad")</f>
        <v>Etherpad</v>
      </c>
      <c r="B2820" s="4" t="s">
        <v>5187</v>
      </c>
      <c r="C2820" s="8" t="s">
        <v>5</v>
      </c>
      <c r="D2820" s="11" t="s">
        <v>5188</v>
      </c>
    </row>
    <row r="2821" spans="1:4" ht="30">
      <c r="A2821" s="5" t="str">
        <f>HYPERLINK("https://www.oit.va.gov/Services/TRM/ToolPage.aspx?tid=15009^","Quick Speech in Noise (QuickSIN)")</f>
        <v>Quick Speech in Noise (QuickSIN)</v>
      </c>
      <c r="B2821" s="4" t="s">
        <v>7059</v>
      </c>
      <c r="C2821" s="8" t="s">
        <v>5</v>
      </c>
      <c r="D2821" s="11" t="s">
        <v>1108</v>
      </c>
    </row>
    <row r="2822" spans="1:4" ht="30">
      <c r="A2822" s="5" t="str">
        <f>HYPERLINK("https://www.oit.va.gov/Services/TRM/ToolPage.aspx?tid=14924^","Vantage Barcode Labeling Software")</f>
        <v>Vantage Barcode Labeling Software</v>
      </c>
      <c r="B2822" s="4" t="s">
        <v>6137</v>
      </c>
      <c r="C2822" s="8" t="s">
        <v>5</v>
      </c>
      <c r="D2822" s="11" t="s">
        <v>5470</v>
      </c>
    </row>
    <row r="2823" spans="1:4" ht="30">
      <c r="A2823" s="5" t="str">
        <f>HYPERLINK("https://www.oit.va.gov/Services/TRM/ToolPage.aspx?tid=13662^","MarkdownPad")</f>
        <v>MarkdownPad</v>
      </c>
      <c r="B2823" s="4" t="s">
        <v>6823</v>
      </c>
      <c r="C2823" s="8" t="s">
        <v>5</v>
      </c>
      <c r="D2823" s="11" t="s">
        <v>5169</v>
      </c>
    </row>
    <row r="2824" spans="1:4" ht="30">
      <c r="A2824" s="5" t="str">
        <f>HYPERLINK("https://www.oit.va.gov/Services/TRM/ToolPage.aspx?tid=12930^","Vue.js")</f>
        <v>Vue.js</v>
      </c>
      <c r="B2824" s="4" t="s">
        <v>158</v>
      </c>
      <c r="C2824" s="8" t="s">
        <v>5</v>
      </c>
      <c r="D2824" s="11" t="s">
        <v>159</v>
      </c>
    </row>
    <row r="2825" spans="1:4" ht="30">
      <c r="A2825" s="5" t="str">
        <f>HYPERLINK("https://www.oit.va.gov/Services/TRM/ToolPage.aspx?tid=15312^","Nexlog DX-Series Recording Solution")</f>
        <v>Nexlog DX-Series Recording Solution</v>
      </c>
      <c r="B2825" s="4" t="s">
        <v>5966</v>
      </c>
      <c r="C2825" s="8" t="s">
        <v>5</v>
      </c>
      <c r="D2825" s="11" t="s">
        <v>2613</v>
      </c>
    </row>
    <row r="2826" spans="1:4" ht="30">
      <c r="A2826" s="5" t="str">
        <f>HYPERLINK("https://www.oit.va.gov/Services/TRM/ToolPage.aspx?tid=14483^","Fotor Photo Editor")</f>
        <v>Fotor Photo Editor</v>
      </c>
      <c r="B2826" s="4" t="s">
        <v>6630</v>
      </c>
      <c r="C2826" s="8" t="s">
        <v>5</v>
      </c>
      <c r="D2826" s="11" t="s">
        <v>6631</v>
      </c>
    </row>
    <row r="2827" spans="1:4" ht="30">
      <c r="A2827" s="5" t="str">
        <f>HYPERLINK("https://www.oit.va.gov/Services/TRM/ToolPage.aspx?tid=8717^","AutoMailMerge")</f>
        <v>AutoMailMerge</v>
      </c>
      <c r="B2827" s="4" t="s">
        <v>2392</v>
      </c>
      <c r="C2827" s="8" t="s">
        <v>5</v>
      </c>
      <c r="D2827" s="11" t="s">
        <v>2393</v>
      </c>
    </row>
    <row r="2828" spans="1:4" ht="30">
      <c r="A2828" s="5" t="str">
        <f>HYPERLINK("https://www.oit.va.gov/Services/TRM/ToolPage.aspx?tid=7763^","Electronic Problem Solving Treatment (ePST)")</f>
        <v>Electronic Problem Solving Treatment (ePST)</v>
      </c>
      <c r="B2828" s="4" t="s">
        <v>7848</v>
      </c>
      <c r="C2828" s="8" t="s">
        <v>5</v>
      </c>
      <c r="D2828" s="11" t="s">
        <v>7849</v>
      </c>
    </row>
    <row r="2829" spans="1:4" ht="30">
      <c r="A2829" s="5" t="str">
        <f>HYPERLINK("https://www.oit.va.gov/Services/TRM/ToolPage.aspx?tid=7331^","Evernote")</f>
        <v>Evernote</v>
      </c>
      <c r="B2829" s="4" t="s">
        <v>6589</v>
      </c>
      <c r="C2829" s="8" t="s">
        <v>5</v>
      </c>
      <c r="D2829" s="11" t="s">
        <v>6590</v>
      </c>
    </row>
    <row r="2830" spans="1:4" ht="30">
      <c r="A2830" s="5" t="str">
        <f>HYPERLINK("https://www.oit.va.gov/Services/TRM/ToolPage.aspx?tid=13209^","Evoke EEG System")</f>
        <v>Evoke EEG System</v>
      </c>
      <c r="B2830" s="4" t="s">
        <v>7886</v>
      </c>
      <c r="C2830" s="8" t="s">
        <v>5</v>
      </c>
      <c r="D2830" s="11" t="s">
        <v>7887</v>
      </c>
    </row>
    <row r="2831" spans="1:4" ht="30">
      <c r="A2831" s="5" t="str">
        <f>HYPERLINK("https://www.oit.va.gov/Services/TRM/ToolPage.aspx?tid=11665^","Evoluent Mouse Manager")</f>
        <v>Evoluent Mouse Manager</v>
      </c>
      <c r="B2831" s="4" t="s">
        <v>2566</v>
      </c>
      <c r="C2831" s="8" t="s">
        <v>5</v>
      </c>
      <c r="D2831" s="11" t="s">
        <v>2567</v>
      </c>
    </row>
    <row r="2832" spans="1:4" ht="30">
      <c r="A2832" s="5" t="str">
        <f>HYPERLINK("https://www.oit.va.gov/Services/TRM/ToolPage.aspx?tid=16332^","Pencil Project")</f>
        <v>Pencil Project</v>
      </c>
      <c r="B2832" s="4" t="s">
        <v>4585</v>
      </c>
      <c r="C2832" s="8" t="s">
        <v>5</v>
      </c>
      <c r="D2832" s="11" t="s">
        <v>4586</v>
      </c>
    </row>
    <row r="2833" spans="1:4" ht="30">
      <c r="A2833" s="5" t="str">
        <f>HYPERLINK("https://www.oit.va.gov/Services/TRM/ToolPage.aspx?tid=8087^","Eventlog to Syslog Service for Windows (EVT2SYS)")</f>
        <v>Eventlog to Syslog Service for Windows (EVT2SYS)</v>
      </c>
      <c r="B2833" s="4" t="s">
        <v>7881</v>
      </c>
      <c r="C2833" s="8" t="s">
        <v>5</v>
      </c>
      <c r="D2833" s="11" t="s">
        <v>7882</v>
      </c>
    </row>
    <row r="2834" spans="1:4" ht="30">
      <c r="A2834" s="5" t="str">
        <f>HYPERLINK("https://www.oit.va.gov/Services/TRM/ToolPage.aspx?tid=14916^","Hindsight")</f>
        <v>Hindsight</v>
      </c>
      <c r="B2834" s="4" t="s">
        <v>2255</v>
      </c>
      <c r="C2834" s="8" t="s">
        <v>5</v>
      </c>
      <c r="D2834" s="11" t="s">
        <v>1601</v>
      </c>
    </row>
    <row r="2835" spans="1:4" ht="30">
      <c r="A2835" s="5" t="str">
        <f>HYPERLINK("https://www.oit.va.gov/Services/TRM/ToolPage.aspx?tid=8699^","exacqVision Client")</f>
        <v>exacqVision Client</v>
      </c>
      <c r="B2835" s="4" t="s">
        <v>5805</v>
      </c>
      <c r="C2835" s="8" t="s">
        <v>5</v>
      </c>
      <c r="D2835" s="11" t="s">
        <v>4206</v>
      </c>
    </row>
    <row r="2836" spans="1:4" ht="30">
      <c r="A2836" s="5" t="str">
        <f>HYPERLINK("https://www.oit.va.gov/Services/TRM/ToolPage.aspx?tid=16617^","Weasis Medical Viewer")</f>
        <v>Weasis Medical Viewer</v>
      </c>
      <c r="B2836" s="4" t="s">
        <v>6156</v>
      </c>
      <c r="C2836" s="8" t="s">
        <v>5</v>
      </c>
      <c r="D2836" s="11" t="s">
        <v>6157</v>
      </c>
    </row>
    <row r="2837" spans="1:4" ht="30">
      <c r="A2837" s="5" t="str">
        <f>HYPERLINK("https://www.oit.va.gov/Services/TRM/ToolPage.aspx?tid=7048^","ExamSoft SofTest")</f>
        <v>ExamSoft SofTest</v>
      </c>
      <c r="B2837" s="4" t="s">
        <v>7888</v>
      </c>
      <c r="C2837" s="8" t="s">
        <v>5</v>
      </c>
      <c r="D2837" s="11" t="s">
        <v>2238</v>
      </c>
    </row>
    <row r="2838" spans="1:4" ht="30">
      <c r="A2838" s="5" t="str">
        <f>HYPERLINK("https://www.oit.va.gov/Services/TRM/ToolPage.aspx?tid=7280^","WebWatchBot")</f>
        <v>WebWatchBot</v>
      </c>
      <c r="B2838" s="4" t="s">
        <v>7320</v>
      </c>
      <c r="C2838" s="8" t="s">
        <v>5</v>
      </c>
      <c r="D2838" s="11" t="s">
        <v>7321</v>
      </c>
    </row>
    <row r="2839" spans="1:4" ht="30">
      <c r="A2839" s="5" t="str">
        <f>HYPERLINK("https://www.oit.va.gov/Services/TRM/ToolPage.aspx?tid=15524^","Photon Server")</f>
        <v>Photon Server</v>
      </c>
      <c r="B2839" s="4" t="s">
        <v>1078</v>
      </c>
      <c r="C2839" s="8" t="s">
        <v>5</v>
      </c>
      <c r="D2839" s="11" t="s">
        <v>1079</v>
      </c>
    </row>
    <row r="2840" spans="1:4" ht="30">
      <c r="A2840" s="5" t="str">
        <f>HYPERLINK("https://www.oit.va.gov/Services/TRM/ToolPage.aspx?tid=15715^","Exiv2")</f>
        <v>Exiv2</v>
      </c>
      <c r="B2840" s="4" t="s">
        <v>6593</v>
      </c>
      <c r="C2840" s="8" t="s">
        <v>5</v>
      </c>
      <c r="D2840" s="11" t="s">
        <v>6594</v>
      </c>
    </row>
    <row r="2841" spans="1:4" ht="30">
      <c r="A2841" s="5" t="str">
        <f>HYPERLINK("https://www.oit.va.gov/Services/TRM/ToolPage.aspx?tid=11569^","LifePRO")</f>
        <v>LifePRO</v>
      </c>
      <c r="B2841" s="4" t="s">
        <v>5907</v>
      </c>
      <c r="C2841" s="8" t="s">
        <v>5</v>
      </c>
      <c r="D2841" s="11" t="s">
        <v>2709</v>
      </c>
    </row>
    <row r="2842" spans="1:4" ht="30">
      <c r="A2842" s="5" t="str">
        <f>HYPERLINK("https://www.oit.va.gov/Services/TRM/ToolPage.aspx?tid=15594^","LifePRO Digital Suite (LDS)")</f>
        <v>LifePRO Digital Suite (LDS)</v>
      </c>
      <c r="B2842" s="4" t="s">
        <v>5907</v>
      </c>
      <c r="C2842" s="8" t="s">
        <v>5</v>
      </c>
      <c r="D2842" s="11" t="s">
        <v>8170</v>
      </c>
    </row>
    <row r="2843" spans="1:4" ht="30">
      <c r="A2843" s="5" t="str">
        <f>HYPERLINK("https://www.oit.va.gov/Services/TRM/ToolPage.aspx?tid=16429^","ExoCad")</f>
        <v>ExoCad</v>
      </c>
      <c r="B2843" s="4" t="s">
        <v>1536</v>
      </c>
      <c r="C2843" s="8" t="s">
        <v>5</v>
      </c>
      <c r="D2843" s="11" t="s">
        <v>1537</v>
      </c>
    </row>
    <row r="2844" spans="1:4" ht="30">
      <c r="A2844" s="5" t="str">
        <f>HYPERLINK("https://www.oit.va.gov/Services/TRM/ToolPage.aspx?tid=6097^","Portable Document Format (PDF) reDirect")</f>
        <v>Portable Document Format (PDF) reDirect</v>
      </c>
      <c r="B2844" s="4" t="s">
        <v>8452</v>
      </c>
      <c r="C2844" s="8" t="s">
        <v>5</v>
      </c>
      <c r="D2844" s="11" t="s">
        <v>5449</v>
      </c>
    </row>
    <row r="2845" spans="1:4" ht="30">
      <c r="A2845" s="5" t="str">
        <f>HYPERLINK("https://www.oit.va.gov/Services/TRM/ToolPage.aspx?tid=15809^","ExpanDrive Desktop")</f>
        <v>ExpanDrive Desktop</v>
      </c>
      <c r="B2845" s="4" t="s">
        <v>991</v>
      </c>
      <c r="C2845" s="8" t="s">
        <v>5</v>
      </c>
      <c r="D2845" s="11" t="s">
        <v>992</v>
      </c>
    </row>
    <row r="2846" spans="1:4" ht="30">
      <c r="A2846" s="5" t="str">
        <f>HYPERLINK("https://www.oit.va.gov/Services/TRM/ToolPage.aspx?tid=15810^","ExpanDrive Server")</f>
        <v>ExpanDrive Server</v>
      </c>
      <c r="B2846" s="4" t="s">
        <v>991</v>
      </c>
      <c r="C2846" s="8" t="s">
        <v>5</v>
      </c>
      <c r="D2846" s="11" t="s">
        <v>993</v>
      </c>
    </row>
    <row r="2847" spans="1:4" ht="30">
      <c r="A2847" s="5" t="str">
        <f>HYPERLINK("https://www.oit.va.gov/Services/TRM/ToolPage.aspx?tid=6692^","Expert-24 Delivery Platform")</f>
        <v>Expert-24 Delivery Platform</v>
      </c>
      <c r="B2847" s="4" t="s">
        <v>2570</v>
      </c>
      <c r="C2847" s="8" t="s">
        <v>5</v>
      </c>
      <c r="D2847" s="11" t="s">
        <v>2571</v>
      </c>
    </row>
    <row r="2848" spans="1:4" ht="30">
      <c r="A2848" s="5" t="str">
        <f>HYPERLINK("https://www.oit.va.gov/Services/TRM/ToolPage.aspx?tid=11031^","Explaindio")</f>
        <v>Explaindio</v>
      </c>
      <c r="B2848" s="4" t="s">
        <v>7891</v>
      </c>
      <c r="C2848" s="8" t="s">
        <v>5</v>
      </c>
      <c r="D2848" s="11" t="s">
        <v>7892</v>
      </c>
    </row>
    <row r="2849" spans="1:4" ht="30">
      <c r="A2849" s="5" t="str">
        <f>HYPERLINK("https://www.oit.va.gov/Services/TRM/ToolPage.aspx?tid=14846^","Prodigy")</f>
        <v>Prodigy</v>
      </c>
      <c r="B2849" s="4" t="s">
        <v>7032</v>
      </c>
      <c r="C2849" s="8" t="s">
        <v>5</v>
      </c>
      <c r="D2849" s="11" t="s">
        <v>2591</v>
      </c>
    </row>
    <row r="2850" spans="1:4" ht="30">
      <c r="A2850" s="5" t="str">
        <f>HYPERLINK("https://www.oit.va.gov/Services/TRM/ToolPage.aspx?tid=14249^","Express Software Manager")</f>
        <v>Express Software Manager</v>
      </c>
      <c r="B2850" s="4" t="s">
        <v>7894</v>
      </c>
      <c r="C2850" s="8" t="s">
        <v>5</v>
      </c>
      <c r="D2850" s="11" t="s">
        <v>7895</v>
      </c>
    </row>
    <row r="2851" spans="1:4" ht="30">
      <c r="A2851" s="5" t="str">
        <f>HYPERLINK("https://www.oit.va.gov/Services/TRM/ToolPage.aspx?tid=14148^","ExpressVPN")</f>
        <v>ExpressVPN</v>
      </c>
      <c r="B2851" s="4" t="s">
        <v>7897</v>
      </c>
      <c r="C2851" s="8" t="s">
        <v>5</v>
      </c>
      <c r="D2851" s="11" t="s">
        <v>7898</v>
      </c>
    </row>
    <row r="2852" spans="1:4" ht="30">
      <c r="A2852" s="5" t="str">
        <f>HYPERLINK("https://www.oit.va.gov/Services/TRM/ToolPage.aspx?tid=11742^","Errorhandler")</f>
        <v>Errorhandler</v>
      </c>
      <c r="B2852" s="4" t="s">
        <v>3282</v>
      </c>
      <c r="C2852" s="8" t="s">
        <v>5</v>
      </c>
      <c r="D2852" s="11" t="s">
        <v>504</v>
      </c>
    </row>
    <row r="2853" spans="1:4" ht="30">
      <c r="A2853" s="5" t="str">
        <f>HYPERLINK("https://www.oit.va.gov/Services/TRM/ToolPage.aspx?tid=7452^","Data Acquisition Software Extech 407355")</f>
        <v>Data Acquisition Software Extech 407355</v>
      </c>
      <c r="B2853" s="4" t="s">
        <v>7726</v>
      </c>
      <c r="C2853" s="8" t="s">
        <v>5</v>
      </c>
      <c r="D2853" s="11" t="s">
        <v>7727</v>
      </c>
    </row>
    <row r="2854" spans="1:4" ht="30">
      <c r="A2854" s="5" t="str">
        <f>HYPERLINK("https://www.oit.va.gov/Services/TRM/ToolPage.aspx?tid=13840^","Office Tab")</f>
        <v>Office Tab</v>
      </c>
      <c r="B2854" s="4" t="s">
        <v>2161</v>
      </c>
      <c r="C2854" s="8" t="s">
        <v>5</v>
      </c>
      <c r="D2854" s="11" t="s">
        <v>2162</v>
      </c>
    </row>
    <row r="2855" spans="1:4" ht="30">
      <c r="A2855" s="5" t="str">
        <f>HYPERLINK("https://www.oit.va.gov/Services/TRM/ToolPage.aspx?tid=9965^","Kutools for Excel")</f>
        <v>Kutools for Excel</v>
      </c>
      <c r="B2855" s="4" t="s">
        <v>2161</v>
      </c>
      <c r="C2855" s="8" t="s">
        <v>5</v>
      </c>
      <c r="D2855" s="11" t="s">
        <v>242</v>
      </c>
    </row>
    <row r="2856" spans="1:4" ht="30">
      <c r="A2856" s="5" t="str">
        <f>HYPERLINK("https://www.oit.va.gov/Services/TRM/ToolPage.aspx?tid=12948^","Universal Type Server / Universal Type Client")</f>
        <v>Universal Type Server / Universal Type Client</v>
      </c>
      <c r="B2856" s="4" t="s">
        <v>2020</v>
      </c>
      <c r="C2856" s="8" t="s">
        <v>5</v>
      </c>
      <c r="D2856" s="11" t="s">
        <v>1962</v>
      </c>
    </row>
    <row r="2857" spans="1:4" ht="30">
      <c r="A2857" s="5" t="str">
        <f>HYPERLINK("https://www.oit.va.gov/Services/TRM/ToolPage.aspx?tid=11792^","Connect Fonts")</f>
        <v>Connect Fonts</v>
      </c>
      <c r="B2857" s="4" t="s">
        <v>2020</v>
      </c>
      <c r="C2857" s="8" t="s">
        <v>5</v>
      </c>
      <c r="D2857" s="11" t="s">
        <v>5118</v>
      </c>
    </row>
    <row r="2858" spans="1:4" ht="30">
      <c r="A2858" s="5" t="str">
        <f>HYPERLINK("https://www.oit.va.gov/Services/TRM/ToolPage.aspx?tid=9274^","Portfolio")</f>
        <v>Portfolio</v>
      </c>
      <c r="B2858" s="4" t="s">
        <v>2020</v>
      </c>
      <c r="C2858" s="8" t="s">
        <v>5</v>
      </c>
      <c r="D2858" s="11" t="s">
        <v>1276</v>
      </c>
    </row>
    <row r="2859" spans="1:4" ht="30">
      <c r="A2859" s="5" t="str">
        <f>HYPERLINK("https://www.oit.va.gov/Services/TRM/ToolPage.aspx?tid=8284^","ExtraView")</f>
        <v>ExtraView</v>
      </c>
      <c r="B2859" s="4" t="s">
        <v>4114</v>
      </c>
      <c r="C2859" s="8" t="s">
        <v>5</v>
      </c>
      <c r="D2859" s="11" t="s">
        <v>3865</v>
      </c>
    </row>
    <row r="2860" spans="1:4" ht="30">
      <c r="A2860" s="5" t="str">
        <f>HYPERLINK("https://www.oit.va.gov/Services/TRM/ToolPage.aspx?tid=7527^","aaa-reports")</f>
        <v>aaa-reports</v>
      </c>
      <c r="B2860" s="4" t="s">
        <v>5024</v>
      </c>
      <c r="C2860" s="8" t="s">
        <v>5</v>
      </c>
      <c r="D2860" s="11" t="s">
        <v>5025</v>
      </c>
    </row>
    <row r="2861" spans="1:4" ht="30">
      <c r="A2861" s="5" t="str">
        <f>HYPERLINK("https://www.oit.va.gov/Services/TRM/ToolPage.aspx?tid=9108^","Extreme Configuration and Orchestration Manager (COM) Plus")</f>
        <v>Extreme Configuration and Orchestration Manager (COM) Plus</v>
      </c>
      <c r="B2861" s="4" t="s">
        <v>3291</v>
      </c>
      <c r="C2861" s="8" t="s">
        <v>5</v>
      </c>
      <c r="D2861" s="11" t="s">
        <v>681</v>
      </c>
    </row>
    <row r="2862" spans="1:4" ht="30">
      <c r="A2862" s="5" t="str">
        <f>HYPERLINK("https://www.oit.va.gov/Services/TRM/ToolPage.aspx?tid=6357^","Medflow Electronic Health Record (EHR)")</f>
        <v>Medflow Electronic Health Record (EHR)</v>
      </c>
      <c r="B2862" s="4" t="s">
        <v>1235</v>
      </c>
      <c r="C2862" s="8" t="s">
        <v>5</v>
      </c>
      <c r="D2862" s="11" t="s">
        <v>1236</v>
      </c>
    </row>
    <row r="2863" spans="1:4" ht="30">
      <c r="A2863" s="5" t="str">
        <f>HYPERLINK("https://www.oit.va.gov/Services/TRM/ToolPage.aspx?tid=14082^","myCare iMedicWare")</f>
        <v>myCare iMedicWare</v>
      </c>
      <c r="B2863" s="4" t="s">
        <v>1235</v>
      </c>
      <c r="C2863" s="8" t="s">
        <v>5</v>
      </c>
      <c r="D2863" s="11" t="s">
        <v>4281</v>
      </c>
    </row>
    <row r="2864" spans="1:4" ht="30">
      <c r="A2864" s="5" t="str">
        <f>HYPERLINK("https://www.oit.va.gov/Services/TRM/ToolPage.aspx?tid=14788^","Adblock Plus")</f>
        <v>Adblock Plus</v>
      </c>
      <c r="B2864" s="4" t="s">
        <v>7397</v>
      </c>
      <c r="C2864" s="8" t="s">
        <v>5</v>
      </c>
      <c r="D2864" s="11" t="s">
        <v>7398</v>
      </c>
    </row>
    <row r="2865" spans="1:4" ht="30">
      <c r="A2865" s="5" t="str">
        <f>HYPERLINK("https://www.oit.va.gov/Services/TRM/ToolPage.aspx?tid=16539^","Simple Network Management Protocol (SNMP) Walk")</f>
        <v>Simple Network Management Protocol (SNMP) Walk</v>
      </c>
      <c r="B2865" s="4" t="s">
        <v>3524</v>
      </c>
      <c r="C2865" s="8" t="s">
        <v>5</v>
      </c>
      <c r="D2865" s="11" t="s">
        <v>3525</v>
      </c>
    </row>
    <row r="2866" spans="1:4" ht="30">
      <c r="A2866" s="5" t="str">
        <f>HYPERLINK("https://www.oit.va.gov/Services/TRM/ToolPage.aspx?tid=16126^","Simple Network Management Protocol (SNMP)Set")</f>
        <v>Simple Network Management Protocol (SNMP)Set</v>
      </c>
      <c r="B2866" s="4" t="s">
        <v>3524</v>
      </c>
      <c r="C2866" s="8" t="s">
        <v>5</v>
      </c>
      <c r="D2866" s="11" t="s">
        <v>3526</v>
      </c>
    </row>
    <row r="2867" spans="1:4" ht="30">
      <c r="A2867" s="5" t="str">
        <f>HYPERLINK("https://www.oit.va.gov/Services/TRM/ToolPage.aspx?tid=6199^","F5 BIG-Internet Protocol (IP) Domain Name System (DNS)")</f>
        <v>F5 BIG-Internet Protocol (IP) Domain Name System (DNS)</v>
      </c>
      <c r="B2867" s="4" t="s">
        <v>2584</v>
      </c>
      <c r="C2867" s="8" t="s">
        <v>5</v>
      </c>
      <c r="D2867" s="11" t="s">
        <v>2585</v>
      </c>
    </row>
    <row r="2868" spans="1:4" ht="30">
      <c r="A2868" s="5" t="str">
        <f>HYPERLINK("https://www.oit.va.gov/Services/TRM/ToolPage.aspx?tid=14495^","F5 Big-IQ Centralized Management")</f>
        <v>F5 Big-IQ Centralized Management</v>
      </c>
      <c r="B2868" s="4" t="s">
        <v>2584</v>
      </c>
      <c r="C2868" s="8" t="s">
        <v>5</v>
      </c>
      <c r="D2868" s="11" t="s">
        <v>4118</v>
      </c>
    </row>
    <row r="2869" spans="1:4" ht="30">
      <c r="A2869" s="5" t="str">
        <f>HYPERLINK("https://www.oit.va.gov/Services/TRM/ToolPage.aspx?tid=16495^","nginx-ingress")</f>
        <v>nginx-ingress</v>
      </c>
      <c r="B2869" s="4" t="s">
        <v>2584</v>
      </c>
      <c r="C2869" s="8" t="s">
        <v>5</v>
      </c>
      <c r="D2869" s="11" t="s">
        <v>1121</v>
      </c>
    </row>
    <row r="2870" spans="1:4" ht="30">
      <c r="A2870" s="5" t="str">
        <f>HYPERLINK("https://www.oit.va.gov/Services/TRM/ToolPage.aspx?tid=16456^","NGINX Ingress")</f>
        <v>NGINX Ingress</v>
      </c>
      <c r="B2870" s="4" t="s">
        <v>2584</v>
      </c>
      <c r="C2870" s="8" t="s">
        <v>5</v>
      </c>
      <c r="D2870" s="11" t="s">
        <v>5967</v>
      </c>
    </row>
    <row r="2871" spans="1:4" ht="30">
      <c r="A2871" s="5" t="str">
        <f>HYPERLINK("https://www.oit.va.gov/Services/TRM/ToolPage.aspx?tid=10484^","Big-IP Edge Client")</f>
        <v>Big-IP Edge Client</v>
      </c>
      <c r="B2871" s="4" t="s">
        <v>2584</v>
      </c>
      <c r="C2871" s="8" t="s">
        <v>5</v>
      </c>
      <c r="D2871" s="11" t="s">
        <v>6219</v>
      </c>
    </row>
    <row r="2872" spans="1:4" ht="30">
      <c r="A2872" s="5" t="str">
        <f>HYPERLINK("https://www.oit.va.gov/Services/TRM/ToolPage.aspx?tid=15052^","f5 iRule Editor")</f>
        <v>f5 iRule Editor</v>
      </c>
      <c r="B2872" s="4" t="s">
        <v>2584</v>
      </c>
      <c r="C2872" s="8" t="s">
        <v>5</v>
      </c>
      <c r="D2872" s="11" t="s">
        <v>7908</v>
      </c>
    </row>
    <row r="2873" spans="1:4" ht="30">
      <c r="A2873" s="5" t="str">
        <f>HYPERLINK("https://www.oit.va.gov/Services/TRM/ToolPage.aspx?tid=8224^","7 Sticky Notes")</f>
        <v>7 Sticky Notes</v>
      </c>
      <c r="B2873" s="4" t="s">
        <v>5022</v>
      </c>
      <c r="C2873" s="8" t="s">
        <v>5</v>
      </c>
      <c r="D2873" s="11" t="s">
        <v>5023</v>
      </c>
    </row>
    <row r="2874" spans="1:4" ht="30">
      <c r="A2874" s="5" t="str">
        <f>HYPERLINK("https://www.oit.va.gov/Services/TRM/ToolPage.aspx?tid=11219^","Facebook Messenger for Windows")</f>
        <v>Facebook Messenger for Windows</v>
      </c>
      <c r="B2874" s="4" t="s">
        <v>7909</v>
      </c>
      <c r="C2874" s="8" t="s">
        <v>5</v>
      </c>
      <c r="D2874" s="11" t="s">
        <v>5443</v>
      </c>
    </row>
    <row r="2875" spans="1:4" ht="30">
      <c r="A2875" s="5" t="str">
        <f>HYPERLINK("https://www.oit.va.gov/Services/TRM/ToolPage.aspx?tid=15056^","Gameroom")</f>
        <v>Gameroom</v>
      </c>
      <c r="B2875" s="4" t="s">
        <v>7909</v>
      </c>
      <c r="C2875" s="8" t="s">
        <v>5</v>
      </c>
      <c r="D2875" s="11" t="s">
        <v>7968</v>
      </c>
    </row>
    <row r="2876" spans="1:4" ht="30">
      <c r="A2876" s="5" t="str">
        <f>HYPERLINK("https://www.oit.va.gov/Services/TRM/ToolPage.aspx?tid=9223^","Logos")</f>
        <v>Logos</v>
      </c>
      <c r="B2876" s="4" t="s">
        <v>5312</v>
      </c>
      <c r="C2876" s="8" t="s">
        <v>5</v>
      </c>
      <c r="D2876" s="11" t="s">
        <v>5313</v>
      </c>
    </row>
    <row r="2877" spans="1:4" ht="30">
      <c r="A2877" s="5" t="str">
        <f>HYPERLINK("https://www.oit.va.gov/Services/TRM/ToolPage.aspx?tid=11019^","Advanced Port Scanner")</f>
        <v>Advanced Port Scanner</v>
      </c>
      <c r="B2877" s="4" t="s">
        <v>916</v>
      </c>
      <c r="C2877" s="8" t="s">
        <v>5</v>
      </c>
      <c r="D2877" s="11" t="s">
        <v>917</v>
      </c>
    </row>
    <row r="2878" spans="1:4" ht="30">
      <c r="A2878" s="5" t="str">
        <f>HYPERLINK("https://www.oit.va.gov/Services/TRM/ToolPage.aspx?tid=6774^","RADMIN")</f>
        <v>RADMIN</v>
      </c>
      <c r="B2878" s="4" t="s">
        <v>916</v>
      </c>
      <c r="C2878" s="8" t="s">
        <v>5</v>
      </c>
      <c r="D2878" s="11" t="s">
        <v>3478</v>
      </c>
    </row>
    <row r="2879" spans="1:4" ht="30">
      <c r="A2879" s="5" t="str">
        <f>HYPERLINK("https://www.oit.va.gov/Services/TRM/ToolPage.aspx?tid=11084^","Advanced IP Scanner")</f>
        <v>Advanced IP Scanner</v>
      </c>
      <c r="B2879" s="4" t="s">
        <v>916</v>
      </c>
      <c r="C2879" s="8" t="s">
        <v>5</v>
      </c>
      <c r="D2879" s="11" t="s">
        <v>5616</v>
      </c>
    </row>
    <row r="2880" spans="1:4" ht="30">
      <c r="A2880" s="5" t="str">
        <f>HYPERLINK("https://www.oit.va.gov/Services/TRM/ToolPage.aspx?tid=15246^","DSI Studio")</f>
        <v>DSI Studio</v>
      </c>
      <c r="B2880" s="4" t="s">
        <v>6541</v>
      </c>
      <c r="C2880" s="8" t="s">
        <v>5</v>
      </c>
      <c r="D2880" s="11" t="s">
        <v>6542</v>
      </c>
    </row>
    <row r="2881" spans="1:4" ht="30">
      <c r="A2881" s="5" t="str">
        <f>HYPERLINK("https://www.oit.va.gov/Services/TRM/ToolPage.aspx?tid=8274^","Asutype")</f>
        <v>Asutype</v>
      </c>
      <c r="B2881" s="4" t="s">
        <v>2389</v>
      </c>
      <c r="C2881" s="8" t="s">
        <v>5</v>
      </c>
      <c r="D2881" s="11" t="s">
        <v>2390</v>
      </c>
    </row>
    <row r="2882" spans="1:4" ht="30">
      <c r="A2882" s="5" t="str">
        <f>HYPERLINK("https://www.oit.va.gov/Services/TRM/ToolPage.aspx?tid=16486^","FANUC ROBOGUIDE")</f>
        <v>FANUC ROBOGUIDE</v>
      </c>
      <c r="B2882" s="4" t="s">
        <v>4119</v>
      </c>
      <c r="C2882" s="8" t="s">
        <v>5</v>
      </c>
      <c r="D2882" s="11" t="s">
        <v>4120</v>
      </c>
    </row>
    <row r="2883" spans="1:4" ht="30">
      <c r="A2883" s="5" t="str">
        <f>HYPERLINK("https://www.oit.va.gov/Services/TRM/ToolPage.aspx?tid=14165^","Crash Zone")</f>
        <v>Crash Zone</v>
      </c>
      <c r="B2883" s="4" t="s">
        <v>7710</v>
      </c>
      <c r="C2883" s="8" t="s">
        <v>5</v>
      </c>
      <c r="D2883" s="11" t="s">
        <v>7362</v>
      </c>
    </row>
    <row r="2884" spans="1:4" ht="30">
      <c r="A2884" s="5" t="str">
        <f>HYPERLINK("https://www.oit.va.gov/Services/TRM/ToolPage.aspx?tid=11580^","FARO Zone 2D")</f>
        <v>FARO Zone 2D</v>
      </c>
      <c r="B2884" s="4" t="s">
        <v>7710</v>
      </c>
      <c r="C2884" s="8" t="s">
        <v>5</v>
      </c>
      <c r="D2884" s="11" t="s">
        <v>827</v>
      </c>
    </row>
    <row r="2885" spans="1:4" ht="30">
      <c r="A2885" s="5" t="str">
        <f>HYPERLINK("https://www.oit.va.gov/Services/TRM/ToolPage.aspx?tid=14919^","Deep Freeze")</f>
        <v>Deep Freeze</v>
      </c>
      <c r="B2885" s="4" t="s">
        <v>6491</v>
      </c>
      <c r="C2885" s="8" t="s">
        <v>5</v>
      </c>
      <c r="D2885" s="11" t="s">
        <v>6492</v>
      </c>
    </row>
    <row r="2886" spans="1:4" ht="30">
      <c r="A2886" s="5" t="str">
        <f>HYPERLINK("https://www.oit.va.gov/Services/TRM/ToolPage.aspx?tid=6253^","FastReport Visual Component Library (VCL)")</f>
        <v>FastReport Visual Component Library (VCL)</v>
      </c>
      <c r="B2886" s="4" t="s">
        <v>402</v>
      </c>
      <c r="C2886" s="8" t="s">
        <v>5</v>
      </c>
      <c r="D2886" s="11" t="s">
        <v>403</v>
      </c>
    </row>
    <row r="2887" spans="1:4" ht="30">
      <c r="A2887" s="5" t="str">
        <f>HYPERLINK("https://www.oit.va.gov/Services/TRM/ToolPage.aspx?tid=7990^","FastStone Capture")</f>
        <v>FastStone Capture</v>
      </c>
      <c r="B2887" s="4" t="s">
        <v>5806</v>
      </c>
      <c r="C2887" s="8" t="s">
        <v>5</v>
      </c>
      <c r="D2887" s="11" t="s">
        <v>3288</v>
      </c>
    </row>
    <row r="2888" spans="1:4" ht="30">
      <c r="A2888" s="5" t="str">
        <f>HYPERLINK("https://www.oit.va.gov/Services/TRM/ToolPage.aspx?tid=13089^","NET SatisFAXtion")</f>
        <v>NET SatisFAXtion</v>
      </c>
      <c r="B2888" s="4" t="s">
        <v>2283</v>
      </c>
      <c r="C2888" s="8" t="s">
        <v>5</v>
      </c>
      <c r="D2888" s="11" t="s">
        <v>2284</v>
      </c>
    </row>
    <row r="2889" spans="1:4" ht="30">
      <c r="A2889" s="5" t="str">
        <f>HYPERLINK("https://www.oit.va.gov/Services/TRM/ToolPage.aspx?tid=15296^","Florida Cancer Data System (FCDS) - Internet Data Editing &amp; Abstracting (IDEA)")</f>
        <v>Florida Cancer Data System (FCDS) - Internet Data Editing &amp; Abstracting (IDEA)</v>
      </c>
      <c r="B2889" s="4" t="s">
        <v>5814</v>
      </c>
      <c r="C2889" s="8" t="s">
        <v>5</v>
      </c>
      <c r="D2889" s="11" t="s">
        <v>716</v>
      </c>
    </row>
    <row r="2890" spans="1:4" ht="30">
      <c r="A2890" s="5" t="str">
        <f>HYPERLINK("https://www.oit.va.gov/Services/TRM/ToolPage.aspx?tid=11074^","Print Conductor")</f>
        <v>Print Conductor</v>
      </c>
      <c r="B2890" s="4" t="s">
        <v>3668</v>
      </c>
      <c r="C2890" s="8" t="s">
        <v>5</v>
      </c>
      <c r="D2890" s="11" t="s">
        <v>1276</v>
      </c>
    </row>
    <row r="2891" spans="1:4" ht="30">
      <c r="A2891" s="5" t="str">
        <f>HYPERLINK("https://www.oit.va.gov/Services/TRM/ToolPage.aspx?tid=15759^","2Printer")</f>
        <v>2Printer</v>
      </c>
      <c r="B2891" s="4" t="s">
        <v>3668</v>
      </c>
      <c r="C2891" s="8" t="s">
        <v>5</v>
      </c>
      <c r="D2891" s="11" t="s">
        <v>2499</v>
      </c>
    </row>
    <row r="2892" spans="1:4" ht="30">
      <c r="A2892" s="5" t="str">
        <f>HYPERLINK("https://www.oit.va.gov/Services/TRM/StandardPage.aspx?tid=16379^","UDI (Unique Device Identification), Food and Drug Administration")</f>
        <v>UDI (Unique Device Identification), Food and Drug Administration</v>
      </c>
      <c r="B2892" s="4" t="s">
        <v>3042</v>
      </c>
      <c r="C2892" s="8" t="s">
        <v>5</v>
      </c>
      <c r="D2892" s="11" t="s">
        <v>3043</v>
      </c>
    </row>
    <row r="2893" spans="1:4" ht="30">
      <c r="A2893" s="5" t="str">
        <f>HYPERLINK("https://www.oit.va.gov/Services/TRM/ToolPage.aspx?tid=8214^","FDA eSubmitter")</f>
        <v>FDA eSubmitter</v>
      </c>
      <c r="B2893" s="4" t="s">
        <v>3042</v>
      </c>
      <c r="C2893" s="8" t="s">
        <v>5</v>
      </c>
      <c r="D2893" s="11" t="s">
        <v>5807</v>
      </c>
    </row>
    <row r="2894" spans="1:4" ht="30">
      <c r="A2894" s="5" t="str">
        <f>HYPERLINK("https://www.oit.va.gov/Services/TRM/StandardPage.aspx?tid=5227^","Unique Ingredient Identifier (UNII)")</f>
        <v>Unique Ingredient Identifier (UNII)</v>
      </c>
      <c r="B2894" s="4" t="s">
        <v>3042</v>
      </c>
      <c r="C2894" s="8" t="s">
        <v>5</v>
      </c>
      <c r="D2894" s="11" t="s">
        <v>8844</v>
      </c>
    </row>
    <row r="2895" spans="1:4" ht="30">
      <c r="A2895" s="5" t="str">
        <f>HYPERLINK("https://www.oit.va.gov/Services/TRM/ToolPage.aspx?tid=8061^","First DataBank (FDB) MedKnowledge")</f>
        <v>First DataBank (FDB) MedKnowledge</v>
      </c>
      <c r="B2895" s="4" t="s">
        <v>2599</v>
      </c>
      <c r="C2895" s="8" t="s">
        <v>5</v>
      </c>
      <c r="D2895" s="11" t="s">
        <v>2600</v>
      </c>
    </row>
    <row r="2896" spans="1:4" ht="30">
      <c r="A2896" s="5" t="str">
        <f>HYPERLINK("https://www.oit.va.gov/Services/TRM/ToolPage.aspx?tid=9065^","FedEx Ship Manager")</f>
        <v>FedEx Ship Manager</v>
      </c>
      <c r="B2896" s="4" t="s">
        <v>4125</v>
      </c>
      <c r="C2896" s="8" t="s">
        <v>5</v>
      </c>
      <c r="D2896" s="11" t="s">
        <v>2647</v>
      </c>
    </row>
    <row r="2897" spans="1:4" ht="30">
      <c r="A2897" s="5" t="str">
        <f>HYPERLINK("https://www.oit.va.gov/Services/TRM/ToolPage.aspx?tid=15542^","FedEx Automation Toolbox")</f>
        <v>FedEx Automation Toolbox</v>
      </c>
      <c r="B2897" s="4" t="s">
        <v>4125</v>
      </c>
      <c r="C2897" s="8" t="s">
        <v>5</v>
      </c>
      <c r="D2897" s="11" t="s">
        <v>5195</v>
      </c>
    </row>
    <row r="2898" spans="1:4" ht="30">
      <c r="A2898" s="5" t="str">
        <f>HYPERLINK("https://www.oit.va.gov/Services/TRM/ToolPage.aspx?tid=13979^","Extra Packages for Enterprise Linux (EPEL)")</f>
        <v>Extra Packages for Enterprise Linux (EPEL)</v>
      </c>
      <c r="B2898" s="4" t="s">
        <v>3289</v>
      </c>
      <c r="C2898" s="8" t="s">
        <v>5</v>
      </c>
      <c r="D2898" s="11" t="s">
        <v>3290</v>
      </c>
    </row>
    <row r="2899" spans="1:4" ht="30">
      <c r="A2899" s="5" t="str">
        <f>HYPERLINK("https://www.oit.va.gov/Services/TRM/ToolPage.aspx?tid=11482^","389 Directory Server")</f>
        <v>389 Directory Server</v>
      </c>
      <c r="B2899" s="4" t="s">
        <v>3289</v>
      </c>
      <c r="C2899" s="8" t="s">
        <v>5</v>
      </c>
      <c r="D2899" s="11" t="s">
        <v>7362</v>
      </c>
    </row>
    <row r="2900" spans="1:4" ht="30">
      <c r="A2900" s="5" t="str">
        <f>HYPERLINK("https://www.oit.va.gov/Services/TRM/ToolPage.aspx?tid=8935^","Feith Quick Integrator (QI)")</f>
        <v>Feith Quick Integrator (QI)</v>
      </c>
      <c r="B2900" s="4" t="s">
        <v>212</v>
      </c>
      <c r="C2900" s="8" t="s">
        <v>5</v>
      </c>
      <c r="D2900" s="11" t="s">
        <v>213</v>
      </c>
    </row>
    <row r="2901" spans="1:4" ht="30">
      <c r="A2901" s="5" t="str">
        <f>HYPERLINK("https://www.oit.va.gov/Services/TRM/ToolPage.aspx?tid=8576^","Feith Harrier")</f>
        <v>Feith Harrier</v>
      </c>
      <c r="B2901" s="4" t="s">
        <v>212</v>
      </c>
      <c r="C2901" s="8" t="s">
        <v>5</v>
      </c>
      <c r="D2901" s="11" t="s">
        <v>406</v>
      </c>
    </row>
    <row r="2902" spans="1:4" ht="30">
      <c r="A2902" s="5" t="str">
        <f>HYPERLINK("https://www.oit.va.gov/Services/TRM/ToolPage.aspx?tid=8973^","Feith Rules Engine (REX)")</f>
        <v>Feith Rules Engine (REX)</v>
      </c>
      <c r="B2902" s="4" t="s">
        <v>212</v>
      </c>
      <c r="C2902" s="8" t="s">
        <v>5</v>
      </c>
      <c r="D2902" s="11" t="s">
        <v>407</v>
      </c>
    </row>
    <row r="2903" spans="1:4" ht="30">
      <c r="A2903" s="5" t="str">
        <f>HYPERLINK("https://www.oit.va.gov/Services/TRM/ToolPage.aspx?tid=8577^","Feith Universal Text Recognition (UTR)")</f>
        <v>Feith Universal Text Recognition (UTR)</v>
      </c>
      <c r="B2903" s="4" t="s">
        <v>212</v>
      </c>
      <c r="C2903" s="8" t="s">
        <v>5</v>
      </c>
      <c r="D2903" s="11" t="s">
        <v>408</v>
      </c>
    </row>
    <row r="2904" spans="1:4" ht="30">
      <c r="A2904" s="5" t="str">
        <f>HYPERLINK("https://www.oit.va.gov/Services/TRM/ToolPage.aspx?tid=8579^","Feith Vortex")</f>
        <v>Feith Vortex</v>
      </c>
      <c r="B2904" s="4" t="s">
        <v>212</v>
      </c>
      <c r="C2904" s="8" t="s">
        <v>5</v>
      </c>
      <c r="D2904" s="11" t="s">
        <v>407</v>
      </c>
    </row>
    <row r="2905" spans="1:4" ht="30">
      <c r="A2905" s="5" t="str">
        <f>HYPERLINK("https://www.oit.va.gov/Services/TRM/ToolPage.aspx?tid=8934^","Feith -- Add-On for Intelligent Data Operating Layer (IDOL)")</f>
        <v>Feith -- Add-On for Intelligent Data Operating Layer (IDOL)</v>
      </c>
      <c r="B2905" s="4" t="s">
        <v>212</v>
      </c>
      <c r="C2905" s="8" t="s">
        <v>5</v>
      </c>
      <c r="D2905" s="11" t="s">
        <v>517</v>
      </c>
    </row>
    <row r="2906" spans="1:4" ht="30">
      <c r="A2906" s="5" t="str">
        <f>HYPERLINK("https://www.oit.va.gov/Services/TRM/ToolPage.aspx?tid=8845^","Feith COLD")</f>
        <v>Feith COLD</v>
      </c>
      <c r="B2906" s="4" t="s">
        <v>212</v>
      </c>
      <c r="C2906" s="8" t="s">
        <v>5</v>
      </c>
      <c r="D2906" s="11" t="s">
        <v>994</v>
      </c>
    </row>
    <row r="2907" spans="1:4" ht="30">
      <c r="A2907" s="5" t="str">
        <f>HYPERLINK("https://www.oit.va.gov/Services/TRM/ToolPage.aspx?tid=8711^","Feith Document Database (FDD)")</f>
        <v>Feith Document Database (FDD)</v>
      </c>
      <c r="B2907" s="4" t="s">
        <v>212</v>
      </c>
      <c r="C2907" s="8" t="s">
        <v>5</v>
      </c>
      <c r="D2907" s="11" t="s">
        <v>995</v>
      </c>
    </row>
    <row r="2908" spans="1:4" ht="30">
      <c r="A2908" s="5" t="str">
        <f>HYPERLINK("https://www.oit.va.gov/Services/TRM/ToolPage.aspx?tid=8807^","Feith Document Viewer")</f>
        <v>Feith Document Viewer</v>
      </c>
      <c r="B2908" s="4" t="s">
        <v>212</v>
      </c>
      <c r="C2908" s="8" t="s">
        <v>5</v>
      </c>
      <c r="D2908" s="11" t="s">
        <v>587</v>
      </c>
    </row>
    <row r="2909" spans="1:4" ht="30">
      <c r="A2909" s="5" t="str">
        <f>HYPERLINK("https://www.oit.va.gov/Services/TRM/ToolPage.aspx?tid=8808^","Feith EDStor")</f>
        <v>Feith EDStor</v>
      </c>
      <c r="B2909" s="4" t="s">
        <v>212</v>
      </c>
      <c r="C2909" s="8" t="s">
        <v>5</v>
      </c>
      <c r="D2909" s="11" t="s">
        <v>996</v>
      </c>
    </row>
    <row r="2910" spans="1:4" ht="30">
      <c r="A2910" s="5" t="str">
        <f>HYPERLINK("https://www.oit.va.gov/Services/TRM/ToolPage.aspx?tid=8580^","Feith WebFDD (Web Feith Document Database)")</f>
        <v>Feith WebFDD (Web Feith Document Database)</v>
      </c>
      <c r="B2910" s="4" t="s">
        <v>212</v>
      </c>
      <c r="C2910" s="8" t="s">
        <v>5</v>
      </c>
      <c r="D2910" s="11" t="s">
        <v>407</v>
      </c>
    </row>
    <row r="2911" spans="1:4" ht="30">
      <c r="A2911" s="5" t="str">
        <f>HYPERLINK("https://www.oit.va.gov/Services/TRM/ToolPage.aspx?tid=8811^","Feith CheckIn")</f>
        <v>Feith CheckIn</v>
      </c>
      <c r="B2911" s="4" t="s">
        <v>212</v>
      </c>
      <c r="C2911" s="8" t="s">
        <v>5</v>
      </c>
      <c r="D2911" s="11" t="s">
        <v>994</v>
      </c>
    </row>
    <row r="2912" spans="1:4" ht="30">
      <c r="A2912" s="5" t="str">
        <f>HYPERLINK("https://www.oit.va.gov/Services/TRM/ToolPage.aspx?tid=8679^","Feith Control Panel")</f>
        <v>Feith Control Panel</v>
      </c>
      <c r="B2912" s="4" t="s">
        <v>212</v>
      </c>
      <c r="C2912" s="8" t="s">
        <v>5</v>
      </c>
      <c r="D2912" s="11" t="s">
        <v>996</v>
      </c>
    </row>
    <row r="2913" spans="1:4" ht="30">
      <c r="A2913" s="5" t="str">
        <f>HYPERLINK("https://www.oit.va.gov/Services/TRM/ToolPage.aspx?tid=8680^","Feith Dashboard iQ Designer")</f>
        <v>Feith Dashboard iQ Designer</v>
      </c>
      <c r="B2913" s="4" t="s">
        <v>212</v>
      </c>
      <c r="C2913" s="8" t="s">
        <v>5</v>
      </c>
      <c r="D2913" s="11" t="s">
        <v>994</v>
      </c>
    </row>
    <row r="2914" spans="1:4" ht="30">
      <c r="A2914" s="5" t="str">
        <f>HYPERLINK("https://www.oit.va.gov/Services/TRM/ToolPage.aspx?tid=8810^","Feith Forms iQ Designer")</f>
        <v>Feith Forms iQ Designer</v>
      </c>
      <c r="B2914" s="4" t="s">
        <v>212</v>
      </c>
      <c r="C2914" s="8" t="s">
        <v>5</v>
      </c>
      <c r="D2914" s="11" t="s">
        <v>406</v>
      </c>
    </row>
    <row r="2915" spans="1:4" ht="30">
      <c r="A2915" s="5" t="str">
        <f>HYPERLINK("https://www.oit.va.gov/Services/TRM/ToolPage.aspx?tid=8906^","Feith Forms iQ Server")</f>
        <v>Feith Forms iQ Server</v>
      </c>
      <c r="B2915" s="4" t="s">
        <v>212</v>
      </c>
      <c r="C2915" s="8" t="s">
        <v>5</v>
      </c>
      <c r="D2915" s="11" t="s">
        <v>213</v>
      </c>
    </row>
    <row r="2916" spans="1:4" ht="30">
      <c r="A2916" s="5" t="str">
        <f>HYPERLINK("https://www.oit.va.gov/Services/TRM/ToolPage.aspx?tid=9119^","Feith Raptor")</f>
        <v>Feith Raptor</v>
      </c>
      <c r="B2916" s="4" t="s">
        <v>212</v>
      </c>
      <c r="C2916" s="8" t="s">
        <v>5</v>
      </c>
      <c r="D2916" s="11" t="s">
        <v>408</v>
      </c>
    </row>
    <row r="2917" spans="1:4" ht="30">
      <c r="A2917" s="5" t="str">
        <f>HYPERLINK("https://www.oit.va.gov/Services/TRM/ToolPage.aspx?tid=8814^","Feith Reports iQ Service")</f>
        <v>Feith Reports iQ Service</v>
      </c>
      <c r="B2917" s="4" t="s">
        <v>212</v>
      </c>
      <c r="C2917" s="8" t="s">
        <v>5</v>
      </c>
      <c r="D2917" s="11" t="s">
        <v>408</v>
      </c>
    </row>
    <row r="2918" spans="1:4" ht="30">
      <c r="A2918" s="5" t="str">
        <f>HYPERLINK("https://www.oit.va.gov/Services/TRM/ToolPage.aspx?tid=8816^","Feith Workflow iQ Manager")</f>
        <v>Feith Workflow iQ Manager</v>
      </c>
      <c r="B2918" s="4" t="s">
        <v>212</v>
      </c>
      <c r="C2918" s="8" t="s">
        <v>5</v>
      </c>
      <c r="D2918" s="11" t="s">
        <v>1543</v>
      </c>
    </row>
    <row r="2919" spans="1:4" ht="30">
      <c r="A2919" s="5" t="str">
        <f>HYPERLINK("https://www.oit.va.gov/Services/TRM/ToolPage.aspx?tid=8681^","Feith Dashboard iQ Server")</f>
        <v>Feith Dashboard iQ Server</v>
      </c>
      <c r="B2919" s="4" t="s">
        <v>212</v>
      </c>
      <c r="C2919" s="8" t="s">
        <v>5</v>
      </c>
      <c r="D2919" s="11" t="s">
        <v>8</v>
      </c>
    </row>
    <row r="2920" spans="1:4" ht="30">
      <c r="A2920" s="5" t="str">
        <f>HYPERLINK("https://www.oit.va.gov/Services/TRM/ToolPage.aspx?tid=8809^","Feith EDStor Server")</f>
        <v>Feith EDStor Server</v>
      </c>
      <c r="B2920" s="4" t="s">
        <v>212</v>
      </c>
      <c r="C2920" s="8" t="s">
        <v>5</v>
      </c>
      <c r="D2920" s="11" t="s">
        <v>406</v>
      </c>
    </row>
    <row r="2921" spans="1:4" ht="30">
      <c r="A2921" s="5" t="str">
        <f>HYPERLINK("https://www.oit.va.gov/Services/TRM/ToolPage.aspx?tid=8812^","Feith Print to Feith Document Database (FDD)")</f>
        <v>Feith Print to Feith Document Database (FDD)</v>
      </c>
      <c r="B2921" s="4" t="s">
        <v>212</v>
      </c>
      <c r="C2921" s="8" t="s">
        <v>5</v>
      </c>
      <c r="D2921" s="11" t="s">
        <v>213</v>
      </c>
    </row>
    <row r="2922" spans="1:4" ht="30">
      <c r="A2922" s="5" t="str">
        <f>HYPERLINK("https://www.oit.va.gov/Services/TRM/ToolPage.aspx?tid=8682^","Feith Document Database (FDD) Power Client")</f>
        <v>Feith Document Database (FDD) Power Client</v>
      </c>
      <c r="B2922" s="4" t="s">
        <v>212</v>
      </c>
      <c r="C2922" s="8" t="s">
        <v>5</v>
      </c>
      <c r="D2922" s="11" t="s">
        <v>996</v>
      </c>
    </row>
    <row r="2923" spans="1:4" ht="30">
      <c r="A2923" s="5" t="str">
        <f>HYPERLINK("https://www.oit.va.gov/Services/TRM/ToolPage.aspx?tid=16681^","Proxy SwitchyOmega")</f>
        <v>Proxy SwitchyOmega</v>
      </c>
      <c r="B2923" s="4" t="s">
        <v>7037</v>
      </c>
      <c r="C2923" s="8" t="s">
        <v>5</v>
      </c>
      <c r="D2923" s="11" t="s">
        <v>7038</v>
      </c>
    </row>
    <row r="2924" spans="1:4" ht="30">
      <c r="A2924" s="5" t="str">
        <f>HYPERLINK("https://www.oit.va.gov/Services/TRM/ToolPage.aspx?tid=12878^","Incident Resource Inventory System (IRIS)")</f>
        <v>Incident Resource Inventory System (IRIS)</v>
      </c>
      <c r="B2924" s="4" t="s">
        <v>4257</v>
      </c>
      <c r="C2924" s="8" t="s">
        <v>5</v>
      </c>
      <c r="D2924" s="11" t="s">
        <v>4258</v>
      </c>
    </row>
    <row r="2925" spans="1:4" ht="30">
      <c r="A2925" s="5" t="str">
        <f>HYPERLINK("https://www.oit.va.gov/Services/TRM/ToolPage.aspx?tid=12881^","Federal Emergency Management Agency (FEMA) Hazus")</f>
        <v>Federal Emergency Management Agency (FEMA) Hazus</v>
      </c>
      <c r="B2925" s="4" t="s">
        <v>4257</v>
      </c>
      <c r="C2925" s="8" t="s">
        <v>5</v>
      </c>
      <c r="D2925" s="11" t="s">
        <v>3287</v>
      </c>
    </row>
    <row r="2926" spans="1:4" ht="30">
      <c r="A2926" s="5" t="str">
        <f>HYPERLINK("https://www.oit.va.gov/Services/TRM/ToolPage.aspx?tid=15706^","FetchMail")</f>
        <v>FetchMail</v>
      </c>
      <c r="B2926" s="4" t="s">
        <v>6607</v>
      </c>
      <c r="C2926" s="8" t="s">
        <v>5</v>
      </c>
      <c r="D2926" s="11" t="s">
        <v>6608</v>
      </c>
    </row>
    <row r="2927" spans="1:4" ht="30">
      <c r="A2927" s="5" t="str">
        <f>HYPERLINK("https://www.oit.va.gov/Services/TRM/ToolPage.aspx?tid=15471^","Fast Forward moving picture experts group (FFmpeg)")</f>
        <v>Fast Forward moving picture experts group (FFmpeg)</v>
      </c>
      <c r="B2927" s="4" t="s">
        <v>1541</v>
      </c>
      <c r="C2927" s="8" t="s">
        <v>5</v>
      </c>
      <c r="D2927" s="11" t="s">
        <v>1542</v>
      </c>
    </row>
    <row r="2928" spans="1:4" ht="30">
      <c r="A2928" s="5" t="str">
        <f>HYPERLINK("https://www.oit.va.gov/Services/TRM/ToolPage.aspx?tid=15413^","WayPoint Navigator")</f>
        <v>WayPoint Navigator</v>
      </c>
      <c r="B2928" s="4" t="s">
        <v>6154</v>
      </c>
      <c r="C2928" s="8" t="s">
        <v>5</v>
      </c>
      <c r="D2928" s="11" t="s">
        <v>6155</v>
      </c>
    </row>
    <row r="2929" spans="1:4" ht="30">
      <c r="A2929" s="5" t="str">
        <f>HYPERLINK("https://www.oit.va.gov/Services/TRM/ToolPage.aspx?tid=13932^","Access Structured Query Language (SQL) Editor")</f>
        <v>Access Structured Query Language (SQL) Editor</v>
      </c>
      <c r="B2929" s="4" t="s">
        <v>7374</v>
      </c>
      <c r="C2929" s="8" t="s">
        <v>5</v>
      </c>
      <c r="D2929" s="11" t="s">
        <v>2086</v>
      </c>
    </row>
    <row r="2930" spans="1:4" ht="30">
      <c r="A2930" s="5" t="str">
        <f>HYPERLINK("https://www.oit.va.gov/Services/TRM/ToolPage.aspx?tid=7654^","Fiery Compose")</f>
        <v>Fiery Compose</v>
      </c>
      <c r="B2930" s="4" t="s">
        <v>2588</v>
      </c>
      <c r="C2930" s="8" t="s">
        <v>5</v>
      </c>
      <c r="D2930" s="11" t="s">
        <v>2589</v>
      </c>
    </row>
    <row r="2931" spans="1:4" ht="30">
      <c r="A2931" s="5" t="str">
        <f>HYPERLINK("https://www.oit.va.gov/Services/TRM/ToolPage.aspx?tid=14026^","TBNotifier")</f>
        <v>TBNotifier</v>
      </c>
      <c r="B2931" s="4" t="s">
        <v>3574</v>
      </c>
      <c r="C2931" s="8" t="s">
        <v>5</v>
      </c>
      <c r="D2931" s="11" t="s">
        <v>1210</v>
      </c>
    </row>
    <row r="2932" spans="1:4" ht="30">
      <c r="A2932" s="5" t="str">
        <f>HYPERLINK("https://www.oit.va.gov/Services/TRM/ToolPage.aspx?tid=11083^","FileHold")</f>
        <v>FileHold</v>
      </c>
      <c r="B2932" s="4" t="s">
        <v>4129</v>
      </c>
      <c r="C2932" s="8" t="s">
        <v>5</v>
      </c>
      <c r="D2932" s="11" t="s">
        <v>4130</v>
      </c>
    </row>
    <row r="2933" spans="1:4" ht="30">
      <c r="A2933" s="5" t="str">
        <f>HYPERLINK("https://www.oit.va.gov/Services/TRM/ToolPage.aspx?tid=13108^","FileMaker Server")</f>
        <v>FileMaker Server</v>
      </c>
      <c r="B2933" s="4" t="s">
        <v>2249</v>
      </c>
      <c r="C2933" s="8" t="s">
        <v>5</v>
      </c>
      <c r="D2933" s="11" t="s">
        <v>2250</v>
      </c>
    </row>
    <row r="2934" spans="1:4" ht="30">
      <c r="A2934" s="5" t="str">
        <f>HYPERLINK("https://www.oit.va.gov/Services/TRM/ToolPage.aspx?tid=5978^","FileOpen Client Plug-In for Adobe Acrobat/Reader")</f>
        <v>FileOpen Client Plug-In for Adobe Acrobat/Reader</v>
      </c>
      <c r="B2934" s="4" t="s">
        <v>5808</v>
      </c>
      <c r="C2934" s="8" t="s">
        <v>5</v>
      </c>
      <c r="D2934" s="11" t="s">
        <v>5809</v>
      </c>
    </row>
    <row r="2935" spans="1:4" ht="30">
      <c r="A2935" s="5" t="str">
        <f>HYPERLINK("https://www.oit.va.gov/Services/TRM/ToolPage.aspx?tid=10070^","FileTrail")</f>
        <v>FileTrail</v>
      </c>
      <c r="B2935" s="4" t="s">
        <v>7923</v>
      </c>
      <c r="C2935" s="8" t="s">
        <v>5</v>
      </c>
      <c r="D2935" s="11" t="s">
        <v>7924</v>
      </c>
    </row>
    <row r="2936" spans="1:4" ht="30">
      <c r="A2936" s="5" t="str">
        <f>HYPERLINK("https://www.oit.va.gov/Services/TRM/ToolPage.aspx?tid=7515^","FileZilla Client")</f>
        <v>FileZilla Client</v>
      </c>
      <c r="B2936" s="4" t="s">
        <v>2592</v>
      </c>
      <c r="C2936" s="8" t="s">
        <v>5</v>
      </c>
      <c r="D2936" s="11" t="s">
        <v>2593</v>
      </c>
    </row>
    <row r="2937" spans="1:4" ht="30">
      <c r="A2937" s="5" t="str">
        <f>HYPERLINK("https://www.oit.va.gov/Services/TRM/ToolPage.aspx?tid=10861^","FileZilla Server")</f>
        <v>FileZilla Server</v>
      </c>
      <c r="B2937" s="4" t="s">
        <v>2592</v>
      </c>
      <c r="C2937" s="8" t="s">
        <v>5</v>
      </c>
      <c r="D2937" s="11" t="s">
        <v>7925</v>
      </c>
    </row>
    <row r="2938" spans="1:4" ht="30">
      <c r="A2938" s="5" t="str">
        <f>HYPERLINK("https://www.oit.va.gov/Services/TRM/ToolPage.aspx?tid=15903^","Motion Control")</f>
        <v>Motion Control</v>
      </c>
      <c r="B2938" s="4" t="s">
        <v>4456</v>
      </c>
      <c r="C2938" s="8" t="s">
        <v>5</v>
      </c>
      <c r="D2938" s="11" t="s">
        <v>4457</v>
      </c>
    </row>
    <row r="2939" spans="1:4" ht="30">
      <c r="A2939" s="5" t="str">
        <f>HYPERLINK("https://www.oit.va.gov/Services/TRM/ToolPage.aspx?tid=16725^","Film Impact Transitions")</f>
        <v>Film Impact Transitions</v>
      </c>
      <c r="B2939" s="4" t="s">
        <v>4131</v>
      </c>
      <c r="C2939" s="8" t="s">
        <v>5</v>
      </c>
      <c r="D2939" s="11" t="s">
        <v>2455</v>
      </c>
    </row>
    <row r="2940" spans="1:4" ht="30">
      <c r="A2940" s="5" t="str">
        <f>HYPERLINK("https://www.oit.va.gov/Services/TRM/ToolPage.aspx?tid=14728^","FILMeasure")</f>
        <v>FILMeasure</v>
      </c>
      <c r="B2940" s="4" t="s">
        <v>5810</v>
      </c>
      <c r="C2940" s="8" t="s">
        <v>5</v>
      </c>
      <c r="D2940" s="11" t="s">
        <v>2662</v>
      </c>
    </row>
    <row r="2941" spans="1:4" ht="30">
      <c r="A2941" s="5" t="str">
        <f>HYPERLINK("https://www.oit.va.gov/Services/TRM/ToolPage.aspx?tid=14382^","Baselight for Avid")</f>
        <v>Baselight for Avid</v>
      </c>
      <c r="B2941" s="4" t="s">
        <v>5674</v>
      </c>
      <c r="C2941" s="8" t="s">
        <v>5</v>
      </c>
      <c r="D2941" s="11" t="s">
        <v>4051</v>
      </c>
    </row>
    <row r="2942" spans="1:4" ht="30">
      <c r="A2942" s="5" t="str">
        <f>HYPERLINK("https://www.oit.va.gov/Services/TRM/ToolPage.aspx?tid=10351^","Final Draft")</f>
        <v>Final Draft</v>
      </c>
      <c r="B2942" s="4" t="s">
        <v>2251</v>
      </c>
      <c r="C2942" s="8" t="s">
        <v>5</v>
      </c>
      <c r="D2942" s="11" t="s">
        <v>2252</v>
      </c>
    </row>
    <row r="2943" spans="1:4" ht="30">
      <c r="A2943" s="5" t="str">
        <f>HYPERLINK("https://www.oit.va.gov/Services/TRM/ToolPage.aspx?tid=10093^","FinePrint")</f>
        <v>FinePrint</v>
      </c>
      <c r="B2943" s="4" t="s">
        <v>5198</v>
      </c>
      <c r="C2943" s="8" t="s">
        <v>5</v>
      </c>
      <c r="D2943" s="11" t="s">
        <v>5199</v>
      </c>
    </row>
    <row r="2944" spans="1:4" ht="30">
      <c r="A2944" s="5" t="str">
        <f>HYPERLINK("https://www.oit.va.gov/Services/TRM/ToolPage.aspx?tid=7971^","Firebird")</f>
        <v>Firebird</v>
      </c>
      <c r="B2944" s="4" t="s">
        <v>7927</v>
      </c>
      <c r="C2944" s="8" t="s">
        <v>5</v>
      </c>
      <c r="D2944" s="11" t="s">
        <v>7928</v>
      </c>
    </row>
    <row r="2945" spans="1:4" ht="30">
      <c r="A2945" s="5" t="str">
        <f>HYPERLINK("https://www.oit.va.gov/Services/TRM/ToolPage.aspx?tid=11026^","FireBreath")</f>
        <v>FireBreath</v>
      </c>
      <c r="B2945" s="4" t="s">
        <v>6613</v>
      </c>
      <c r="C2945" s="8" t="s">
        <v>5</v>
      </c>
      <c r="D2945" s="11" t="s">
        <v>412</v>
      </c>
    </row>
    <row r="2946" spans="1:4" ht="30">
      <c r="A2946" s="5" t="str">
        <f>HYPERLINK("https://www.oit.va.gov/Services/TRM/ToolPage.aspx?tid=13999^","FireDaemon Pro")</f>
        <v>FireDaemon Pro</v>
      </c>
      <c r="B2946" s="4" t="s">
        <v>2594</v>
      </c>
      <c r="C2946" s="8" t="s">
        <v>5</v>
      </c>
      <c r="D2946" s="11" t="s">
        <v>687</v>
      </c>
    </row>
    <row r="2947" spans="1:4" ht="30">
      <c r="A2947" s="5" t="str">
        <f>HYPERLINK("https://www.oit.va.gov/Services/TRM/ToolPage.aspx?tid=15782^","FireDaemon Zero")</f>
        <v>FireDaemon Zero</v>
      </c>
      <c r="B2947" s="4" t="s">
        <v>2594</v>
      </c>
      <c r="C2947" s="8" t="s">
        <v>5</v>
      </c>
      <c r="D2947" s="11" t="s">
        <v>6614</v>
      </c>
    </row>
    <row r="2948" spans="1:4" ht="30">
      <c r="A2948" s="5" t="str">
        <f>HYPERLINK("https://www.oit.va.gov/Services/TRM/ToolPage.aspx?tid=10360^","FireflyPro Viewing Software")</f>
        <v>FireflyPro Viewing Software</v>
      </c>
      <c r="B2948" s="4" t="s">
        <v>409</v>
      </c>
      <c r="C2948" s="8" t="s">
        <v>5</v>
      </c>
      <c r="D2948" s="11" t="s">
        <v>410</v>
      </c>
    </row>
    <row r="2949" spans="1:4" ht="30">
      <c r="A2949" s="5" t="str">
        <f>HYPERLINK("https://www.oit.va.gov/Services/TRM/ToolPage.aspx?tid=7553^","FIREHOUSE Software")</f>
        <v>FIREHOUSE Software</v>
      </c>
      <c r="B2949" s="4" t="s">
        <v>490</v>
      </c>
      <c r="C2949" s="8" t="s">
        <v>5</v>
      </c>
      <c r="D2949" s="11" t="s">
        <v>491</v>
      </c>
    </row>
    <row r="2950" spans="1:4" ht="30">
      <c r="A2950" s="5" t="str">
        <f>HYPERLINK("https://www.oit.va.gov/Services/TRM/ToolPage.aspx?tid=15036^","Firely .Net Software Development Kit (SDK)")</f>
        <v>Firely .Net Software Development Kit (SDK)</v>
      </c>
      <c r="B2950" s="4" t="s">
        <v>2595</v>
      </c>
      <c r="C2950" s="8" t="s">
        <v>5</v>
      </c>
      <c r="D2950" s="11" t="s">
        <v>2596</v>
      </c>
    </row>
    <row r="2951" spans="1:4" ht="30">
      <c r="A2951" s="5" t="str">
        <f>HYPERLINK("https://www.oit.va.gov/Services/TRM/ToolPage.aspx?tid=16871^","Forge")</f>
        <v>Forge</v>
      </c>
      <c r="B2951" s="4" t="s">
        <v>2595</v>
      </c>
      <c r="C2951" s="8" t="s">
        <v>5</v>
      </c>
      <c r="D2951" s="11" t="s">
        <v>1082</v>
      </c>
    </row>
    <row r="2952" spans="1:4" ht="30">
      <c r="A2952" s="5" t="str">
        <f>HYPERLINK("https://www.oit.va.gov/Services/TRM/ToolPage.aspx?tid=15910^","Firstbeat Bodyguard 3 Exporter")</f>
        <v>Firstbeat Bodyguard 3 Exporter</v>
      </c>
      <c r="B2952" s="4" t="s">
        <v>4135</v>
      </c>
      <c r="C2952" s="8" t="s">
        <v>5</v>
      </c>
      <c r="D2952" s="11" t="s">
        <v>4136</v>
      </c>
    </row>
    <row r="2953" spans="1:4" ht="30">
      <c r="A2953" s="5" t="str">
        <f>HYPERLINK("https://www.oit.va.gov/Services/TRM/ToolPage.aspx?tid=15104^","Firstbeat Uploader Desktop Tool for Windows")</f>
        <v>Firstbeat Uploader Desktop Tool for Windows</v>
      </c>
      <c r="B2953" s="4" t="s">
        <v>4135</v>
      </c>
      <c r="C2953" s="8" t="s">
        <v>5</v>
      </c>
      <c r="D2953" s="11" t="s">
        <v>2838</v>
      </c>
    </row>
    <row r="2954" spans="1:4" ht="30">
      <c r="A2954" s="5" t="str">
        <f>HYPERLINK("https://www.oit.va.gov/Services/TRM/ToolPage.aspx?tid=6632^","FIS-GT.M")</f>
        <v>FIS-GT.M</v>
      </c>
      <c r="B2954" s="4" t="s">
        <v>1544</v>
      </c>
      <c r="C2954" s="8" t="s">
        <v>5</v>
      </c>
      <c r="D2954" s="11" t="s">
        <v>1545</v>
      </c>
    </row>
    <row r="2955" spans="1:4" ht="30">
      <c r="A2955" s="5" t="str">
        <f>HYPERLINK("https://www.oit.va.gov/Services/TRM/ToolPage.aspx?tid=13218^","Fidelity National Information Service (FIS) Compass")</f>
        <v>Fidelity National Information Service (FIS) Compass</v>
      </c>
      <c r="B2955" s="4" t="s">
        <v>1544</v>
      </c>
      <c r="C2955" s="8" t="s">
        <v>5</v>
      </c>
      <c r="D2955" s="11" t="s">
        <v>3534</v>
      </c>
    </row>
    <row r="2956" spans="1:4" ht="30">
      <c r="A2956" s="5" t="str">
        <f>HYPERLINK("https://www.oit.va.gov/Services/TRM/ToolPage.aspx?tid=13173^","FIS Prophet Professional")</f>
        <v>FIS Prophet Professional</v>
      </c>
      <c r="B2956" s="4" t="s">
        <v>1544</v>
      </c>
      <c r="C2956" s="8" t="s">
        <v>5</v>
      </c>
      <c r="D2956" s="11" t="s">
        <v>7932</v>
      </c>
    </row>
    <row r="2957" spans="1:4" ht="30">
      <c r="A2957" s="5" t="str">
        <f>HYPERLINK("https://www.oit.va.gov/Services/TRM/ToolPage.aspx?tid=13157^","FITFOOT360")</f>
        <v>FITFOOT360</v>
      </c>
      <c r="B2957" s="4" t="s">
        <v>6615</v>
      </c>
      <c r="C2957" s="8" t="s">
        <v>5</v>
      </c>
      <c r="D2957" s="11" t="s">
        <v>5158</v>
      </c>
    </row>
    <row r="2958" spans="1:4" ht="30">
      <c r="A2958" s="5" t="str">
        <f>HYPERLINK("https://www.oit.va.gov/Services/TRM/ToolPage.aspx?tid=8014^","Fitbit Connect")</f>
        <v>Fitbit Connect</v>
      </c>
      <c r="B2958" s="4" t="s">
        <v>411</v>
      </c>
      <c r="C2958" s="8" t="s">
        <v>5</v>
      </c>
      <c r="D2958" s="11" t="s">
        <v>412</v>
      </c>
    </row>
    <row r="2959" spans="1:4" ht="30">
      <c r="A2959" s="5" t="str">
        <f>HYPERLINK("https://www.oit.va.gov/Services/TRM/ToolPage.aspx?tid=14579^","Fitbit Application")</f>
        <v>Fitbit Application</v>
      </c>
      <c r="B2959" s="4" t="s">
        <v>411</v>
      </c>
      <c r="C2959" s="8" t="s">
        <v>5</v>
      </c>
      <c r="D2959" s="11" t="s">
        <v>2253</v>
      </c>
    </row>
    <row r="2960" spans="1:4" ht="30">
      <c r="A2960" s="5" t="str">
        <f>HYPERLINK("https://www.oit.va.gov/Services/TRM/ToolPage.aspx?tid=6961^","FitNesse")</f>
        <v>FitNesse</v>
      </c>
      <c r="B2960" s="4" t="s">
        <v>1164</v>
      </c>
      <c r="C2960" s="8" t="s">
        <v>5</v>
      </c>
      <c r="D2960" s="11" t="s">
        <v>1165</v>
      </c>
    </row>
    <row r="2961" spans="1:4" ht="30">
      <c r="A2961" s="5" t="str">
        <f>HYPERLINK("https://www.oit.va.gov/Services/TRM/ToolPage.aspx?tid=15859^","FlashGrid Cluster")</f>
        <v>FlashGrid Cluster</v>
      </c>
      <c r="B2961" s="4" t="s">
        <v>1546</v>
      </c>
      <c r="C2961" s="8" t="s">
        <v>5</v>
      </c>
      <c r="D2961" s="11" t="s">
        <v>1547</v>
      </c>
    </row>
    <row r="2962" spans="1:4" ht="30">
      <c r="A2962" s="5" t="str">
        <f>HYPERLINK("https://www.oit.va.gov/Services/TRM/ToolPage.aspx?tid=6481^","AdminStudio")</f>
        <v>AdminStudio</v>
      </c>
      <c r="B2962" s="4" t="s">
        <v>1283</v>
      </c>
      <c r="C2962" s="8" t="s">
        <v>5</v>
      </c>
      <c r="D2962" s="11" t="s">
        <v>1284</v>
      </c>
    </row>
    <row r="2963" spans="1:4" ht="30">
      <c r="A2963" s="5" t="str">
        <f>HYPERLINK("https://www.oit.va.gov/Services/TRM/ToolPage.aspx?tid=7965^","Business DNA (BDNA) Data Platform")</f>
        <v>Business DNA (BDNA) Data Platform</v>
      </c>
      <c r="B2963" s="4" t="s">
        <v>1283</v>
      </c>
      <c r="C2963" s="8" t="s">
        <v>5</v>
      </c>
      <c r="D2963" s="11" t="s">
        <v>1389</v>
      </c>
    </row>
    <row r="2964" spans="1:4" ht="30">
      <c r="A2964" s="5" t="str">
        <f>HYPERLINK("https://www.oit.va.gov/Services/TRM/ToolPage.aspx?tid=6514^","Business DNA (BDNA) Discover")</f>
        <v>Business DNA (BDNA) Discover</v>
      </c>
      <c r="B2964" s="4" t="s">
        <v>1283</v>
      </c>
      <c r="C2964" s="8" t="s">
        <v>5</v>
      </c>
      <c r="D2964" s="11" t="s">
        <v>3185</v>
      </c>
    </row>
    <row r="2965" spans="1:4" ht="30">
      <c r="A2965" s="5" t="str">
        <f>HYPERLINK("https://www.oit.va.gov/Services/TRM/ToolPage.aspx?tid=10237^","FlexNet Connect Agent")</f>
        <v>FlexNet Connect Agent</v>
      </c>
      <c r="B2965" s="4" t="s">
        <v>1283</v>
      </c>
      <c r="C2965" s="8" t="s">
        <v>5</v>
      </c>
      <c r="D2965" s="11" t="s">
        <v>3643</v>
      </c>
    </row>
    <row r="2966" spans="1:4" ht="30">
      <c r="A2966" s="5" t="str">
        <f>HYPERLINK("https://www.oit.va.gov/Services/TRM/ToolPage.aspx?tid=5800^","InstallAnywhere")</f>
        <v>InstallAnywhere</v>
      </c>
      <c r="B2966" s="4" t="s">
        <v>1283</v>
      </c>
      <c r="C2966" s="8" t="s">
        <v>5</v>
      </c>
      <c r="D2966" s="11" t="s">
        <v>2143</v>
      </c>
    </row>
    <row r="2967" spans="1:4" ht="30">
      <c r="A2967" s="5" t="str">
        <f>HYPERLINK("https://www.oit.va.gov/Services/TRM/ToolPage.aspx?tid=6962^","FlexSim Healthcare")</f>
        <v>FlexSim Healthcare</v>
      </c>
      <c r="B2967" s="4" t="s">
        <v>1000</v>
      </c>
      <c r="C2967" s="8" t="s">
        <v>5</v>
      </c>
      <c r="D2967" s="11" t="s">
        <v>1001</v>
      </c>
    </row>
    <row r="2968" spans="1:4" ht="30">
      <c r="A2968" s="5" t="str">
        <f>HYPERLINK("https://www.oit.va.gov/Services/TRM/ToolPage.aspx?tid=16494^","MusicGlove")</f>
        <v>MusicGlove</v>
      </c>
      <c r="B2968" s="4" t="s">
        <v>5958</v>
      </c>
      <c r="C2968" s="8" t="s">
        <v>5</v>
      </c>
      <c r="D2968" s="11" t="s">
        <v>1121</v>
      </c>
    </row>
    <row r="2969" spans="1:4" ht="30">
      <c r="A2969" s="5" t="str">
        <f>HYPERLINK("https://www.oit.va.gov/Services/TRM/ToolPage.aspx?tid=6666^","Forward-Looking Infrared (FLIR) Tools")</f>
        <v>Forward-Looking Infrared (FLIR) Tools</v>
      </c>
      <c r="B2969" s="4" t="s">
        <v>304</v>
      </c>
      <c r="C2969" s="8" t="s">
        <v>5</v>
      </c>
      <c r="D2969" s="11" t="s">
        <v>305</v>
      </c>
    </row>
    <row r="2970" spans="1:4" ht="30">
      <c r="A2970" s="5" t="str">
        <f>HYPERLINK("https://www.oit.va.gov/Services/TRM/ToolPage.aspx?tid=15226^","Extech TH10")</f>
        <v>Extech TH10</v>
      </c>
      <c r="B2970" s="4" t="s">
        <v>304</v>
      </c>
      <c r="C2970" s="8" t="s">
        <v>5</v>
      </c>
      <c r="D2970" s="11" t="s">
        <v>640</v>
      </c>
    </row>
    <row r="2971" spans="1:4" ht="30">
      <c r="A2971" s="5" t="str">
        <f>HYPERLINK("https://www.oit.va.gov/Services/TRM/ToolPage.aspx?tid=9479^","Extech VB300")</f>
        <v>Extech VB300</v>
      </c>
      <c r="B2971" s="4" t="s">
        <v>304</v>
      </c>
      <c r="C2971" s="8" t="s">
        <v>5</v>
      </c>
      <c r="D2971" s="11" t="s">
        <v>1538</v>
      </c>
    </row>
    <row r="2972" spans="1:4" ht="30">
      <c r="A2972" s="5" t="str">
        <f>HYPERLINK("https://www.oit.va.gov/Services/TRM/ToolPage.aspx?tid=10667^","Vision Beanstore Point-of-Sale (POS)")</f>
        <v>Vision Beanstore Point-of-Sale (POS)</v>
      </c>
      <c r="B2972" s="4" t="s">
        <v>3068</v>
      </c>
      <c r="C2972" s="8" t="s">
        <v>5</v>
      </c>
      <c r="D2972" s="11" t="s">
        <v>3069</v>
      </c>
    </row>
    <row r="2973" spans="1:4" ht="30">
      <c r="A2973" s="5" t="str">
        <f>HYPERLINK("https://www.oit.va.gov/Services/TRM/ToolPage.aspx?tid=10680^","Business Analytics (BA)")</f>
        <v>Business Analytics (BA)</v>
      </c>
      <c r="B2973" s="4" t="s">
        <v>3068</v>
      </c>
      <c r="C2973" s="8" t="s">
        <v>5</v>
      </c>
      <c r="D2973" s="11" t="s">
        <v>2095</v>
      </c>
    </row>
    <row r="2974" spans="1:4" ht="30">
      <c r="A2974" s="5" t="str">
        <f>HYPERLINK("https://www.oit.va.gov/Services/TRM/ToolPage.aspx?tid=15894^","SeleniumBasic")</f>
        <v>SeleniumBasic</v>
      </c>
      <c r="B2974" s="4" t="s">
        <v>7123</v>
      </c>
      <c r="C2974" s="8" t="s">
        <v>5</v>
      </c>
      <c r="D2974" s="11" t="s">
        <v>7124</v>
      </c>
    </row>
    <row r="2975" spans="1:4" ht="30">
      <c r="A2975" s="5" t="str">
        <f>HYPERLINK("https://www.oit.va.gov/Services/TRM/ToolPage.aspx?tid=14158^","SawMill")</f>
        <v>SawMill</v>
      </c>
      <c r="B2975" s="4" t="s">
        <v>3503</v>
      </c>
      <c r="C2975" s="8" t="s">
        <v>5</v>
      </c>
      <c r="D2975" s="11" t="s">
        <v>3504</v>
      </c>
    </row>
    <row r="2976" spans="1:4" ht="30">
      <c r="A2976" s="5" t="str">
        <f>HYPERLINK("https://www.oit.va.gov/Services/TRM/ToolPage.aspx?tid=7529^","FlowJo")</f>
        <v>FlowJo</v>
      </c>
      <c r="B2976" s="4" t="s">
        <v>1548</v>
      </c>
      <c r="C2976" s="8" t="s">
        <v>5</v>
      </c>
      <c r="D2976" s="11" t="s">
        <v>872</v>
      </c>
    </row>
    <row r="2977" spans="1:4" ht="30">
      <c r="A2977" s="5" t="str">
        <f>HYPERLINK("https://www.oit.va.gov/Services/TRM/ToolPage.aspx?tid=14942^","FluentAssertions")</f>
        <v>FluentAssertions</v>
      </c>
      <c r="B2977" s="4" t="s">
        <v>6619</v>
      </c>
      <c r="C2977" s="8" t="s">
        <v>5</v>
      </c>
      <c r="D2977" s="11" t="s">
        <v>6620</v>
      </c>
    </row>
    <row r="2978" spans="1:4" ht="30">
      <c r="A2978" s="5" t="str">
        <f>HYPERLINK("https://www.oit.va.gov/Services/TRM/ToolPage.aspx?tid=7415^","Fluke SmartView Classic")</f>
        <v>Fluke SmartView Classic</v>
      </c>
      <c r="B2978" s="4" t="s">
        <v>2603</v>
      </c>
      <c r="C2978" s="8" t="s">
        <v>5</v>
      </c>
      <c r="D2978" s="11" t="s">
        <v>2604</v>
      </c>
    </row>
    <row r="2979" spans="1:4" ht="30">
      <c r="A2979" s="5" t="str">
        <f>HYPERLINK("https://www.oit.va.gov/Services/TRM/ToolPage.aspx?tid=11423^","Energy Analyze Plus")</f>
        <v>Energy Analyze Plus</v>
      </c>
      <c r="B2979" s="4" t="s">
        <v>2603</v>
      </c>
      <c r="C2979" s="8" t="s">
        <v>5</v>
      </c>
      <c r="D2979" s="11" t="s">
        <v>2254</v>
      </c>
    </row>
    <row r="2980" spans="1:4" ht="30">
      <c r="A2980" s="5" t="str">
        <f>HYPERLINK("https://www.oit.va.gov/Services/TRM/ToolPage.aspx?tid=15514^","Comark Auditor")</f>
        <v>Comark Auditor</v>
      </c>
      <c r="B2980" s="4" t="s">
        <v>2603</v>
      </c>
      <c r="C2980" s="8" t="s">
        <v>5</v>
      </c>
      <c r="D2980" s="11" t="s">
        <v>1455</v>
      </c>
    </row>
    <row r="2981" spans="1:4" ht="30">
      <c r="A2981" s="5" t="str">
        <f>HYPERLINK("https://www.oit.va.gov/Services/TRM/ToolPage.aspx?tid=8198^","Fluke PowerLog")</f>
        <v>Fluke PowerLog</v>
      </c>
      <c r="B2981" s="4" t="s">
        <v>2603</v>
      </c>
      <c r="C2981" s="8" t="s">
        <v>5</v>
      </c>
      <c r="D2981" s="11" t="s">
        <v>587</v>
      </c>
    </row>
    <row r="2982" spans="1:4" ht="30">
      <c r="A2982" s="5" t="str">
        <f>HYPERLINK("https://www.oit.va.gov/Services/TRM/ToolPage.aspx?tid=10109^","Ansur Test Automation")</f>
        <v>Ansur Test Automation</v>
      </c>
      <c r="B2982" s="4" t="s">
        <v>2603</v>
      </c>
      <c r="C2982" s="8" t="s">
        <v>5</v>
      </c>
      <c r="D2982" s="11" t="s">
        <v>5802</v>
      </c>
    </row>
    <row r="2983" spans="1:4" ht="30">
      <c r="A2983" s="5" t="str">
        <f>HYPERLINK("https://www.oit.va.gov/Services/TRM/ToolPage.aspx?tid=15008^","Fluke Power Analyze Software")</f>
        <v>Fluke Power Analyze Software</v>
      </c>
      <c r="B2983" s="4" t="s">
        <v>2603</v>
      </c>
      <c r="C2983" s="8" t="s">
        <v>5</v>
      </c>
      <c r="D2983" s="11" t="s">
        <v>4684</v>
      </c>
    </row>
    <row r="2984" spans="1:4" ht="30">
      <c r="A2984" s="5" t="str">
        <f>HYPERLINK("https://www.oit.va.gov/Services/TRM/ToolPage.aspx?tid=15705^","OneQA")</f>
        <v>OneQA</v>
      </c>
      <c r="B2984" s="4" t="s">
        <v>4541</v>
      </c>
      <c r="C2984" s="8" t="s">
        <v>5</v>
      </c>
      <c r="D2984" s="11" t="s">
        <v>1058</v>
      </c>
    </row>
    <row r="2985" spans="1:4" ht="30">
      <c r="A2985" s="5" t="str">
        <f>HYPERLINK("https://www.oit.va.gov/Services/TRM/ToolPage.aspx?tid=15805^","RaySafe View")</f>
        <v>RaySafe View</v>
      </c>
      <c r="B2985" s="4" t="s">
        <v>4541</v>
      </c>
      <c r="C2985" s="8" t="s">
        <v>5</v>
      </c>
      <c r="D2985" s="11" t="s">
        <v>2910</v>
      </c>
    </row>
    <row r="2986" spans="1:4" ht="30">
      <c r="A2986" s="5" t="str">
        <f>HYPERLINK("https://www.oit.va.gov/Services/TRM/ToolPage.aspx?tid=7798^","LinkWare Personal Computer (PC) Cable Test Management")</f>
        <v>LinkWare Personal Computer (PC) Cable Test Management</v>
      </c>
      <c r="B2986" s="4" t="s">
        <v>2740</v>
      </c>
      <c r="C2986" s="8" t="s">
        <v>5</v>
      </c>
      <c r="D2986" s="11" t="s">
        <v>2741</v>
      </c>
    </row>
    <row r="2987" spans="1:4" ht="30">
      <c r="A2987" s="5" t="str">
        <f>HYPERLINK("https://www.oit.va.gov/Services/TRM/ToolPage.aspx?tid=10421^","CableIQ Reporter Software")</f>
        <v>CableIQ Reporter Software</v>
      </c>
      <c r="B2987" s="4" t="s">
        <v>2740</v>
      </c>
      <c r="C2987" s="8" t="s">
        <v>5</v>
      </c>
      <c r="D2987" s="11" t="s">
        <v>7593</v>
      </c>
    </row>
    <row r="2988" spans="1:4" ht="30">
      <c r="A2988" s="5" t="str">
        <f>HYPERLINK("https://www.oit.va.gov/Services/TRM/ToolPage.aspx?tid=7918^","f.lux")</f>
        <v>f.lux</v>
      </c>
      <c r="B2988" s="4" t="s">
        <v>1231</v>
      </c>
      <c r="C2988" s="8" t="s">
        <v>5</v>
      </c>
      <c r="D2988" s="11" t="s">
        <v>1232</v>
      </c>
    </row>
    <row r="2989" spans="1:4" ht="30">
      <c r="A2989" s="5" t="str">
        <f>HYPERLINK("https://www.oit.va.gov/Services/TRM/ToolPage.aspx?tid=15295^","Disco Process Mining")</f>
        <v>Disco Process Mining</v>
      </c>
      <c r="B2989" s="4" t="s">
        <v>4020</v>
      </c>
      <c r="C2989" s="8" t="s">
        <v>5</v>
      </c>
      <c r="D2989" s="11" t="s">
        <v>238</v>
      </c>
    </row>
    <row r="2990" spans="1:4" ht="30">
      <c r="A2990" s="5" t="str">
        <f>HYPERLINK("https://www.oit.va.gov/Services/TRM/ToolPage.aspx?tid=16509^","Flywheel")</f>
        <v>Flywheel</v>
      </c>
      <c r="B2990" s="4" t="s">
        <v>1549</v>
      </c>
      <c r="C2990" s="8" t="s">
        <v>5</v>
      </c>
      <c r="D2990" s="11" t="s">
        <v>1550</v>
      </c>
    </row>
    <row r="2991" spans="1:4" ht="30">
      <c r="A2991" s="5" t="str">
        <f>HYPERLINK("https://www.oit.va.gov/Services/TRM/ToolPage.aspx?tid=8297^","FM:Interact")</f>
        <v>FM:Interact</v>
      </c>
      <c r="B2991" s="4" t="s">
        <v>2605</v>
      </c>
      <c r="C2991" s="8" t="s">
        <v>5</v>
      </c>
      <c r="D2991" s="11" t="s">
        <v>2606</v>
      </c>
    </row>
    <row r="2992" spans="1:4" ht="30">
      <c r="A2992" s="5" t="str">
        <f>HYPERLINK("https://www.oit.va.gov/Services/TRM/ToolPage.aspx?tid=14524^","FMRIB Software Library (FSL)")</f>
        <v>FMRIB Software Library (FSL)</v>
      </c>
      <c r="B2992" s="4" t="s">
        <v>4144</v>
      </c>
      <c r="C2992" s="8" t="s">
        <v>5</v>
      </c>
      <c r="D2992" s="11" t="s">
        <v>491</v>
      </c>
    </row>
    <row r="2993" spans="1:4" ht="30">
      <c r="A2993" s="5" t="str">
        <f>HYPERLINK("https://www.oit.va.gov/Services/TRM/ToolPage.aspx?tid=14627^","Sentinel Visualizer")</f>
        <v>Sentinel Visualizer</v>
      </c>
      <c r="B2993" s="4" t="s">
        <v>7128</v>
      </c>
      <c r="C2993" s="8" t="s">
        <v>5</v>
      </c>
      <c r="D2993" s="11" t="s">
        <v>5504</v>
      </c>
    </row>
    <row r="2994" spans="1:4" ht="30">
      <c r="A2994" s="5" t="str">
        <f>HYPERLINK("https://www.oit.va.gov/Services/TRM/ToolPage.aspx?tid=14314^","Total Access Admin")</f>
        <v>Total Access Admin</v>
      </c>
      <c r="B2994" s="4" t="s">
        <v>7128</v>
      </c>
      <c r="C2994" s="8" t="s">
        <v>5</v>
      </c>
      <c r="D2994" s="11" t="s">
        <v>4484</v>
      </c>
    </row>
    <row r="2995" spans="1:4" ht="30">
      <c r="A2995" s="5" t="str">
        <f>HYPERLINK("https://www.oit.va.gov/Services/TRM/ToolPage.aspx?tid=14341^","Total Access Analyzer")</f>
        <v>Total Access Analyzer</v>
      </c>
      <c r="B2995" s="4" t="s">
        <v>7128</v>
      </c>
      <c r="C2995" s="8" t="s">
        <v>5</v>
      </c>
      <c r="D2995" s="11" t="s">
        <v>7233</v>
      </c>
    </row>
    <row r="2996" spans="1:4" ht="30">
      <c r="A2996" s="5" t="str">
        <f>HYPERLINK("https://www.oit.va.gov/Services/TRM/ToolPage.aspx?tid=14315^","Total Access Detective")</f>
        <v>Total Access Detective</v>
      </c>
      <c r="B2996" s="4" t="s">
        <v>7128</v>
      </c>
      <c r="C2996" s="8" t="s">
        <v>5</v>
      </c>
      <c r="D2996" s="11" t="s">
        <v>7233</v>
      </c>
    </row>
    <row r="2997" spans="1:4" ht="30">
      <c r="A2997" s="5" t="str">
        <f>HYPERLINK("https://www.oit.va.gov/Services/TRM/ToolPage.aspx?tid=14306^","Total Access Emailer")</f>
        <v>Total Access Emailer</v>
      </c>
      <c r="B2997" s="4" t="s">
        <v>7128</v>
      </c>
      <c r="C2997" s="8" t="s">
        <v>5</v>
      </c>
      <c r="D2997" s="11" t="s">
        <v>194</v>
      </c>
    </row>
    <row r="2998" spans="1:4" ht="30">
      <c r="A2998" s="5" t="str">
        <f>HYPERLINK("https://www.oit.va.gov/Services/TRM/ToolPage.aspx?tid=14310^","Total Access Memo")</f>
        <v>Total Access Memo</v>
      </c>
      <c r="B2998" s="4" t="s">
        <v>7128</v>
      </c>
      <c r="C2998" s="8" t="s">
        <v>5</v>
      </c>
      <c r="D2998" s="11" t="s">
        <v>1123</v>
      </c>
    </row>
    <row r="2999" spans="1:4" ht="30">
      <c r="A2999" s="5" t="str">
        <f>HYPERLINK("https://www.oit.va.gov/Services/TRM/ToolPage.aspx?tid=14346^","Total Visual SourceBook")</f>
        <v>Total Visual SourceBook</v>
      </c>
      <c r="B2999" s="4" t="s">
        <v>7128</v>
      </c>
      <c r="C2999" s="8" t="s">
        <v>5</v>
      </c>
      <c r="D2999" s="11" t="s">
        <v>7237</v>
      </c>
    </row>
    <row r="3000" spans="1:4" ht="30">
      <c r="A3000" s="5" t="str">
        <f>HYPERLINK("https://www.oit.va.gov/Services/TRM/ToolPage.aspx?tid=14465^","Total Access Statistics")</f>
        <v>Total Access Statistics</v>
      </c>
      <c r="B3000" s="4" t="s">
        <v>7128</v>
      </c>
      <c r="C3000" s="8" t="s">
        <v>5</v>
      </c>
      <c r="D3000" s="11" t="s">
        <v>901</v>
      </c>
    </row>
    <row r="3001" spans="1:4" ht="30">
      <c r="A3001" s="5" t="str">
        <f>HYPERLINK("https://www.oit.va.gov/Services/TRM/ToolPage.aspx?tid=8581^","Fellow Oak (FO) Digital Imaging and Communications in Medicine (DICOM)")</f>
        <v>Fellow Oak (FO) Digital Imaging and Communications in Medicine (DICOM)</v>
      </c>
      <c r="B3001" s="4" t="s">
        <v>3114</v>
      </c>
      <c r="C3001" s="8" t="s">
        <v>5</v>
      </c>
      <c r="D3001" s="11" t="s">
        <v>3115</v>
      </c>
    </row>
    <row r="3002" spans="1:4" ht="30">
      <c r="A3002" s="5" t="str">
        <f>HYPERLINK("https://www.oit.va.gov/Services/TRM/ToolPage.aspx?tid=16137^","Smart Health Level Seven (SmartHL7) Message Viewer")</f>
        <v>Smart Health Level Seven (SmartHL7) Message Viewer</v>
      </c>
      <c r="B3002" s="4" t="s">
        <v>4806</v>
      </c>
      <c r="C3002" s="8" t="s">
        <v>5</v>
      </c>
      <c r="D3002" s="11" t="s">
        <v>71</v>
      </c>
    </row>
    <row r="3003" spans="1:4" ht="30">
      <c r="A3003" s="5" t="str">
        <f>HYPERLINK("https://www.oit.va.gov/Services/TRM/ToolPage.aspx?tid=14768^","VectraCor Holter Software")</f>
        <v>VectraCor Holter Software</v>
      </c>
      <c r="B3003" s="4" t="s">
        <v>4953</v>
      </c>
      <c r="C3003" s="8" t="s">
        <v>5</v>
      </c>
      <c r="D3003" s="11" t="s">
        <v>550</v>
      </c>
    </row>
    <row r="3004" spans="1:4" ht="30">
      <c r="A3004" s="5" t="str">
        <f>HYPERLINK("https://www.oit.va.gov/Services/TRM/ToolPage.aspx?tid=7216^","OpenDJ")</f>
        <v>OpenDJ</v>
      </c>
      <c r="B3004" s="4" t="s">
        <v>6965</v>
      </c>
      <c r="C3004" s="8" t="s">
        <v>5</v>
      </c>
      <c r="D3004" s="11" t="s">
        <v>6966</v>
      </c>
    </row>
    <row r="3005" spans="1:4" ht="30">
      <c r="A3005" s="5" t="str">
        <f>HYPERLINK("https://www.oit.va.gov/Services/TRM/ToolPage.aspx?tid=16412^","Formax MailDoc")</f>
        <v>Formax MailDoc</v>
      </c>
      <c r="B3005" s="4" t="s">
        <v>4150</v>
      </c>
      <c r="C3005" s="8" t="s">
        <v>5</v>
      </c>
      <c r="D3005" s="11" t="s">
        <v>4151</v>
      </c>
    </row>
    <row r="3006" spans="1:4" ht="30">
      <c r="A3006" s="5" t="str">
        <f>HYPERLINK("https://www.oit.va.gov/Services/TRM/ToolPage.aspx?tid=15487^","Former2")</f>
        <v>Former2</v>
      </c>
      <c r="B3006" s="4" t="s">
        <v>6628</v>
      </c>
      <c r="C3006" s="8" t="s">
        <v>5</v>
      </c>
      <c r="D3006" s="11" t="s">
        <v>6629</v>
      </c>
    </row>
    <row r="3007" spans="1:4" ht="30">
      <c r="A3007" s="5" t="str">
        <f>HYPERLINK("https://www.oit.va.gov/Services/TRM/ToolPage.aspx?tid=13949^","Formlabs PreForm")</f>
        <v>Formlabs PreForm</v>
      </c>
      <c r="B3007" s="4" t="s">
        <v>4152</v>
      </c>
      <c r="C3007" s="8" t="s">
        <v>5</v>
      </c>
      <c r="D3007" s="11" t="s">
        <v>4153</v>
      </c>
    </row>
    <row r="3008" spans="1:4" ht="30">
      <c r="A3008" s="5" t="str">
        <f>HYPERLINK("https://www.oit.va.gov/Services/TRM/ToolPage.aspx?tid=15232^","Defense Contract Management Agency (DCMA) Schedule Analyzer forProject")</f>
        <v>Defense Contract Management Agency (DCMA) Schedule Analyzer forProject</v>
      </c>
      <c r="B3008" s="4" t="s">
        <v>1488</v>
      </c>
      <c r="C3008" s="8" t="s">
        <v>5</v>
      </c>
      <c r="D3008" s="11" t="s">
        <v>357</v>
      </c>
    </row>
    <row r="3009" spans="1:4" ht="30">
      <c r="A3009" s="5" t="str">
        <f>HYPERLINK("https://www.oit.va.gov/Services/TRM/ToolPage.aspx?tid=7867^","Job Access and Management System (JAMS) Enterprise Job Scheduling")</f>
        <v>Job Access and Management System (JAMS) Enterprise Job Scheduling</v>
      </c>
      <c r="B3009" s="4" t="s">
        <v>2693</v>
      </c>
      <c r="C3009" s="8" t="s">
        <v>5</v>
      </c>
      <c r="D3009" s="11" t="s">
        <v>2694</v>
      </c>
    </row>
    <row r="3010" spans="1:4" ht="30">
      <c r="A3010" s="5" t="str">
        <f>HYPERLINK("https://www.oit.va.gov/Services/TRM/ToolPage.aspx?tid=5886^","Automate Desktop")</f>
        <v>Automate Desktop</v>
      </c>
      <c r="B3010" s="4" t="s">
        <v>2693</v>
      </c>
      <c r="C3010" s="8" t="s">
        <v>5</v>
      </c>
      <c r="D3010" s="11" t="s">
        <v>3795</v>
      </c>
    </row>
    <row r="3011" spans="1:4" ht="30">
      <c r="A3011" s="5" t="str">
        <f>HYPERLINK("https://www.oit.va.gov/Services/TRM/ToolPage.aspx?tid=7581^","InterMapper")</f>
        <v>InterMapper</v>
      </c>
      <c r="B3011" s="4" t="s">
        <v>2693</v>
      </c>
      <c r="C3011" s="8" t="s">
        <v>5</v>
      </c>
      <c r="D3011" s="11" t="s">
        <v>4247</v>
      </c>
    </row>
    <row r="3012" spans="1:4" ht="30">
      <c r="A3012" s="5" t="str">
        <f>HYPERLINK("https://www.oit.va.gov/Services/TRM/ToolPage.aspx?tid=5979^","Fortress Secure Client")</f>
        <v>Fortress Secure Client</v>
      </c>
      <c r="B3012" s="4" t="s">
        <v>7942</v>
      </c>
      <c r="C3012" s="8" t="s">
        <v>5</v>
      </c>
      <c r="D3012" s="11" t="s">
        <v>7943</v>
      </c>
    </row>
    <row r="3013" spans="1:4" ht="30">
      <c r="A3013" s="5" t="str">
        <f>HYPERLINK("https://www.oit.va.gov/Services/TRM/ToolPage.aspx?tid=10610^","Bodystudio Automated Total Body Mapping (ATBM) System")</f>
        <v>Bodystudio Automated Total Body Mapping (ATBM) System</v>
      </c>
      <c r="B3013" s="4" t="s">
        <v>7572</v>
      </c>
      <c r="C3013" s="8" t="s">
        <v>5</v>
      </c>
      <c r="D3013" s="11" t="s">
        <v>2232</v>
      </c>
    </row>
    <row r="3014" spans="1:4" ht="30">
      <c r="A3014" s="5" t="str">
        <f>HYPERLINK("https://www.oit.va.gov/Services/TRM/ToolPage.aspx?tid=9656^","Short Cut to Field Level Users")</f>
        <v>Short Cut to Field Level Users</v>
      </c>
      <c r="B3014" s="4" t="s">
        <v>6066</v>
      </c>
      <c r="C3014" s="8" t="s">
        <v>5</v>
      </c>
      <c r="D3014" s="11" t="s">
        <v>6067</v>
      </c>
    </row>
    <row r="3015" spans="1:4" ht="30">
      <c r="A3015" s="5" t="str">
        <f>HYPERLINK("https://www.oit.va.gov/Services/TRM/ToolPage.aspx?tid=11106^","Foxit Portable Document Format (PDF) Editor")</f>
        <v>Foxit Portable Document Format (PDF) Editor</v>
      </c>
      <c r="B3015" s="4" t="s">
        <v>2609</v>
      </c>
      <c r="C3015" s="8" t="s">
        <v>5</v>
      </c>
      <c r="D3015" s="11" t="s">
        <v>2610</v>
      </c>
    </row>
    <row r="3016" spans="1:4" ht="30">
      <c r="A3016" s="5" t="str">
        <f>HYPERLINK("https://www.oit.va.gov/Services/TRM/ToolPage.aspx?tid=10955^","Foxit Reader")</f>
        <v>Foxit Reader</v>
      </c>
      <c r="B3016" s="4" t="s">
        <v>2609</v>
      </c>
      <c r="C3016" s="8" t="s">
        <v>5</v>
      </c>
      <c r="D3016" s="11" t="s">
        <v>4181</v>
      </c>
    </row>
    <row r="3017" spans="1:4" ht="30">
      <c r="A3017" s="5" t="str">
        <f>HYPERLINK("https://www.oit.va.gov/Services/TRM/ToolPage.aspx?tid=16741^","Frame.io")</f>
        <v>Frame.io</v>
      </c>
      <c r="B3017" s="4" t="s">
        <v>72</v>
      </c>
      <c r="C3017" s="8" t="s">
        <v>5</v>
      </c>
      <c r="D3017" s="11" t="s">
        <v>73</v>
      </c>
    </row>
    <row r="3018" spans="1:4" ht="30">
      <c r="A3018" s="5" t="str">
        <f>HYPERLINK("https://www.oit.va.gov/Services/TRM/ToolPage.aspx?tid=15140^","Genericode")</f>
        <v>Genericode</v>
      </c>
      <c r="B3018" s="4" t="s">
        <v>72</v>
      </c>
      <c r="C3018" s="8" t="s">
        <v>5</v>
      </c>
      <c r="D3018" s="11" t="s">
        <v>1004</v>
      </c>
    </row>
    <row r="3019" spans="1:4" ht="30">
      <c r="A3019" s="5" t="str">
        <f>HYPERLINK("https://www.oit.va.gov/Services/TRM/ToolPage.aspx?tid=14265^","Electronic Information Extraction System (EIES)")</f>
        <v>Electronic Information Extraction System (EIES)</v>
      </c>
      <c r="B3019" s="4" t="s">
        <v>7846</v>
      </c>
      <c r="C3019" s="8" t="s">
        <v>5</v>
      </c>
      <c r="D3019" s="11" t="s">
        <v>7847</v>
      </c>
    </row>
    <row r="3020" spans="1:4" ht="30">
      <c r="A3020" s="5" t="str">
        <f>HYPERLINK("https://www.oit.va.gov/Services/TRM/ToolPage.aspx?tid=9660^","Computerized Patient Record System (CPRS) Lab Formatter")</f>
        <v>Computerized Patient Record System (CPRS) Lab Formatter</v>
      </c>
      <c r="B3020" s="4" t="s">
        <v>2485</v>
      </c>
      <c r="C3020" s="8" t="s">
        <v>5</v>
      </c>
      <c r="D3020" s="11" t="s">
        <v>2486</v>
      </c>
    </row>
    <row r="3021" spans="1:4" ht="30">
      <c r="A3021" s="5" t="str">
        <f>HYPERLINK("https://www.oit.va.gov/Services/TRM/ToolPage.aspx?tid=15504^","espanso")</f>
        <v>espanso</v>
      </c>
      <c r="B3021" s="4" t="s">
        <v>5798</v>
      </c>
      <c r="C3021" s="8" t="s">
        <v>5</v>
      </c>
      <c r="D3021" s="11" t="s">
        <v>5799</v>
      </c>
    </row>
    <row r="3022" spans="1:4" ht="30">
      <c r="A3022" s="5" t="str">
        <f>HYPERLINK("https://www.oit.va.gov/Services/TRM/ToolPage.aspx?tid=11013^","GNU Compiler Collection (GCC)")</f>
        <v>GNU Compiler Collection (GCC)</v>
      </c>
      <c r="B3022" s="4" t="s">
        <v>1578</v>
      </c>
      <c r="C3022" s="8" t="s">
        <v>5</v>
      </c>
      <c r="D3022" s="11" t="s">
        <v>1579</v>
      </c>
    </row>
    <row r="3023" spans="1:4" ht="30">
      <c r="A3023" s="5" t="str">
        <f>HYPERLINK("https://www.oit.va.gov/Services/TRM/ToolPage.aspx?tid=12830^","Binutils")</f>
        <v>Binutils</v>
      </c>
      <c r="B3023" s="4" t="s">
        <v>1578</v>
      </c>
      <c r="C3023" s="8" t="s">
        <v>5</v>
      </c>
      <c r="D3023" s="11" t="s">
        <v>3831</v>
      </c>
    </row>
    <row r="3024" spans="1:4" ht="30">
      <c r="A3024" s="5" t="str">
        <f>HYPERLINK("https://www.oit.va.gov/Services/TRM/ToolPage.aspx?tid=12941^","Bison")</f>
        <v>Bison</v>
      </c>
      <c r="B3024" s="4" t="s">
        <v>1578</v>
      </c>
      <c r="C3024" s="8" t="s">
        <v>5</v>
      </c>
      <c r="D3024" s="11" t="s">
        <v>3836</v>
      </c>
    </row>
    <row r="3025" spans="1:4" ht="30">
      <c r="A3025" s="5" t="str">
        <f>HYPERLINK("https://www.oit.va.gov/Services/TRM/ToolPage.aspx?tid=14378^","Texinfo")</f>
        <v>Texinfo</v>
      </c>
      <c r="B3025" s="4" t="s">
        <v>1578</v>
      </c>
      <c r="C3025" s="8" t="s">
        <v>5</v>
      </c>
      <c r="D3025" s="11" t="s">
        <v>5549</v>
      </c>
    </row>
    <row r="3026" spans="1:4" ht="30">
      <c r="A3026" s="5" t="str">
        <f>HYPERLINK("https://www.oit.va.gov/Services/TRM/ToolPage.aspx?tid=13182^","Findutils")</f>
        <v>Findutils</v>
      </c>
      <c r="B3026" s="4" t="s">
        <v>1578</v>
      </c>
      <c r="C3026" s="8" t="s">
        <v>5</v>
      </c>
      <c r="D3026" s="11" t="s">
        <v>5811</v>
      </c>
    </row>
    <row r="3027" spans="1:4" ht="30">
      <c r="A3027" s="5" t="str">
        <f>HYPERLINK("https://www.oit.va.gov/Services/TRM/ToolPage.aspx?tid=14359^","GNU Octave")</f>
        <v>GNU Octave</v>
      </c>
      <c r="B3027" s="4" t="s">
        <v>1578</v>
      </c>
      <c r="C3027" s="8" t="s">
        <v>5</v>
      </c>
      <c r="D3027" s="11" t="s">
        <v>5831</v>
      </c>
    </row>
    <row r="3028" spans="1:4" ht="30">
      <c r="A3028" s="5" t="str">
        <f>HYPERLINK("https://www.oit.va.gov/Services/TRM/ToolPage.aspx?tid=10615^","GNU Tape Archiver (TAR)")</f>
        <v>GNU Tape Archiver (TAR)</v>
      </c>
      <c r="B3028" s="4" t="s">
        <v>1578</v>
      </c>
      <c r="C3028" s="8" t="s">
        <v>5</v>
      </c>
      <c r="D3028" s="11" t="s">
        <v>5826</v>
      </c>
    </row>
    <row r="3029" spans="1:4" ht="30">
      <c r="A3029" s="5" t="str">
        <f>HYPERLINK("https://www.oit.va.gov/Services/TRM/ToolPage.aspx?tid=10655^","GNU Awk (Gawk)")</f>
        <v>GNU Awk (Gawk)</v>
      </c>
      <c r="B3029" s="4" t="s">
        <v>1578</v>
      </c>
      <c r="C3029" s="8" t="s">
        <v>5</v>
      </c>
      <c r="D3029" s="11" t="s">
        <v>6655</v>
      </c>
    </row>
    <row r="3030" spans="1:4" ht="30">
      <c r="A3030" s="5" t="str">
        <f>HYPERLINK("https://www.oit.va.gov/Services/TRM/ToolPage.aspx?tid=13214^","GNU C Library (glibc)")</f>
        <v>GNU C Library (glibc)</v>
      </c>
      <c r="B3030" s="4" t="s">
        <v>1578</v>
      </c>
      <c r="C3030" s="8" t="s">
        <v>5</v>
      </c>
      <c r="D3030" s="11" t="s">
        <v>6656</v>
      </c>
    </row>
    <row r="3031" spans="1:4" ht="30">
      <c r="A3031" s="5" t="str">
        <f>HYPERLINK("https://www.oit.va.gov/Services/TRM/ToolPage.aspx?tid=11779^","GNU M4")</f>
        <v>GNU M4</v>
      </c>
      <c r="B3031" s="4" t="s">
        <v>1578</v>
      </c>
      <c r="C3031" s="8" t="s">
        <v>5</v>
      </c>
      <c r="D3031" s="11" t="s">
        <v>5318</v>
      </c>
    </row>
    <row r="3032" spans="1:4" ht="30">
      <c r="A3032" s="5" t="str">
        <f>HYPERLINK("https://www.oit.va.gov/Services/TRM/ToolPage.aspx?tid=11092^","Coreutils")</f>
        <v>Coreutils</v>
      </c>
      <c r="B3032" s="4" t="s">
        <v>1578</v>
      </c>
      <c r="C3032" s="8" t="s">
        <v>5</v>
      </c>
      <c r="D3032" s="11" t="s">
        <v>681</v>
      </c>
    </row>
    <row r="3033" spans="1:4" ht="30">
      <c r="A3033" s="5" t="str">
        <f>HYPERLINK("https://www.oit.va.gov/Services/TRM/ToolPage.aspx?tid=12936^","gettext")</f>
        <v>gettext</v>
      </c>
      <c r="B3033" s="4" t="s">
        <v>1578</v>
      </c>
      <c r="C3033" s="8" t="s">
        <v>5</v>
      </c>
      <c r="D3033" s="11" t="s">
        <v>63</v>
      </c>
    </row>
    <row r="3034" spans="1:4" ht="30">
      <c r="A3034" s="5" t="str">
        <f>HYPERLINK("https://www.oit.va.gov/Services/TRM/ToolPage.aspx?tid=13175^","GNU Diffutils")</f>
        <v>GNU Diffutils</v>
      </c>
      <c r="B3034" s="4" t="s">
        <v>1578</v>
      </c>
      <c r="C3034" s="8" t="s">
        <v>5</v>
      </c>
      <c r="D3034" s="11" t="s">
        <v>7764</v>
      </c>
    </row>
    <row r="3035" spans="1:4" ht="30">
      <c r="A3035" s="5" t="str">
        <f>HYPERLINK("https://www.oit.va.gov/Services/TRM/ToolPage.aspx?tid=13206^","GNU ed")</f>
        <v>GNU ed</v>
      </c>
      <c r="B3035" s="4" t="s">
        <v>1578</v>
      </c>
      <c r="C3035" s="8" t="s">
        <v>5</v>
      </c>
      <c r="D3035" s="11" t="s">
        <v>5823</v>
      </c>
    </row>
    <row r="3036" spans="1:4" ht="30">
      <c r="A3036" s="5" t="str">
        <f>HYPERLINK("https://www.oit.va.gov/Services/TRM/ToolPage.aspx?tid=13208^","GNU Stream Editor (sed)")</f>
        <v>GNU Stream Editor (sed)</v>
      </c>
      <c r="B3036" s="4" t="s">
        <v>1578</v>
      </c>
      <c r="C3036" s="8" t="s">
        <v>5</v>
      </c>
      <c r="D3036" s="11" t="s">
        <v>2993</v>
      </c>
    </row>
    <row r="3037" spans="1:4" ht="30">
      <c r="A3037" s="5" t="str">
        <f>HYPERLINK("https://www.oit.va.gov/Services/TRM/ToolPage.aspx?tid=13921^","Free Stopwatch")</f>
        <v>Free Stopwatch</v>
      </c>
      <c r="B3037" s="4" t="s">
        <v>7954</v>
      </c>
      <c r="C3037" s="8" t="s">
        <v>5</v>
      </c>
      <c r="D3037" s="11" t="s">
        <v>2178</v>
      </c>
    </row>
    <row r="3038" spans="1:4" ht="30">
      <c r="A3038" s="5" t="str">
        <f>HYPERLINK("https://www.oit.va.gov/Services/TRM/ToolPage.aspx?tid=13866^","Format Factory")</f>
        <v>Format Factory</v>
      </c>
      <c r="B3038" s="4" t="s">
        <v>7940</v>
      </c>
      <c r="C3038" s="8" t="s">
        <v>5</v>
      </c>
      <c r="D3038" s="11" t="s">
        <v>7772</v>
      </c>
    </row>
    <row r="3039" spans="1:4" ht="30">
      <c r="A3039" s="5" t="str">
        <f>HYPERLINK("https://www.oit.va.gov/Services/TRM/ToolPage.aspx?tid=15002^","FreeBSD")</f>
        <v>FreeBSD</v>
      </c>
      <c r="B3039" s="4" t="s">
        <v>6634</v>
      </c>
      <c r="C3039" s="8" t="s">
        <v>5</v>
      </c>
      <c r="D3039" s="11" t="s">
        <v>6635</v>
      </c>
    </row>
    <row r="3040" spans="1:4" ht="30">
      <c r="A3040" s="5" t="str">
        <f>HYPERLINK("https://www.oit.va.gov/Services/TRM/ToolPage.aspx?tid=12872^","LSOF- List Open Files")</f>
        <v>LSOF- List Open Files</v>
      </c>
      <c r="B3040" s="4" t="s">
        <v>6634</v>
      </c>
      <c r="C3040" s="8" t="s">
        <v>5</v>
      </c>
      <c r="D3040" s="11" t="s">
        <v>7796</v>
      </c>
    </row>
    <row r="3041" spans="1:4" ht="30">
      <c r="A3041" s="5" t="str">
        <f>HYPERLINK("https://www.oit.va.gov/Services/TRM/ToolPage.aspx?tid=15500^","Free Computer-Aided Design (FreeCAD)")</f>
        <v>Free Computer-Aided Design (FreeCAD)</v>
      </c>
      <c r="B3041" s="4" t="s">
        <v>7946</v>
      </c>
      <c r="C3041" s="8" t="s">
        <v>5</v>
      </c>
      <c r="D3041" s="11" t="s">
        <v>7947</v>
      </c>
    </row>
    <row r="3042" spans="1:4" ht="30">
      <c r="A3042" s="5" t="str">
        <f>HYPERLINK("https://www.oit.va.gov/Services/TRM/ToolPage.aspx?tid=13199^","Pkg-config")</f>
        <v>Pkg-config</v>
      </c>
      <c r="B3042" s="4" t="s">
        <v>3456</v>
      </c>
      <c r="C3042" s="8" t="s">
        <v>5</v>
      </c>
      <c r="D3042" s="11" t="s">
        <v>3457</v>
      </c>
    </row>
    <row r="3043" spans="1:4" ht="30">
      <c r="A3043" s="5" t="str">
        <f>HYPERLINK("https://www.oit.va.gov/Services/TRM/ToolPage.aspx?tid=42^","Job Access With Speech (JAWS)")</f>
        <v>Job Access With Speech (JAWS)</v>
      </c>
      <c r="B3043" s="4" t="s">
        <v>732</v>
      </c>
      <c r="C3043" s="8" t="s">
        <v>5</v>
      </c>
      <c r="D3043" s="11" t="s">
        <v>733</v>
      </c>
    </row>
    <row r="3044" spans="1:4" ht="30">
      <c r="A3044" s="5" t="str">
        <f>HYPERLINK("https://www.oit.va.gov/Services/TRM/ToolPage.aspx?tid=8133^","OpenBook")</f>
        <v>OpenBook</v>
      </c>
      <c r="B3044" s="4" t="s">
        <v>732</v>
      </c>
      <c r="C3044" s="8" t="s">
        <v>5</v>
      </c>
      <c r="D3044" s="11" t="s">
        <v>793</v>
      </c>
    </row>
    <row r="3045" spans="1:4" ht="30">
      <c r="A3045" s="5" t="str">
        <f>HYPERLINK("https://www.oit.va.gov/Services/TRM/ToolPage.aspx?tid=6306^","ZoomText")</f>
        <v>ZoomText</v>
      </c>
      <c r="B3045" s="4" t="s">
        <v>732</v>
      </c>
      <c r="C3045" s="8" t="s">
        <v>5</v>
      </c>
      <c r="D3045" s="11" t="s">
        <v>969</v>
      </c>
    </row>
    <row r="3046" spans="1:4" ht="30">
      <c r="A3046" s="5" t="str">
        <f>HYPERLINK("https://www.oit.va.gov/Services/TRM/ToolPage.aspx?tid=13974^","Fusion")</f>
        <v>Fusion</v>
      </c>
      <c r="B3046" s="4" t="s">
        <v>732</v>
      </c>
      <c r="C3046" s="8" t="s">
        <v>5</v>
      </c>
      <c r="D3046" s="11" t="s">
        <v>4163</v>
      </c>
    </row>
    <row r="3047" spans="1:4" ht="30">
      <c r="A3047" s="5" t="str">
        <f>HYPERLINK("https://www.oit.va.gov/Services/TRM/ToolPage.aspx?tid=15512^","Job Access With Speech (JAWS) Inspect Browser Extension")</f>
        <v>Job Access With Speech (JAWS) Inspect Browser Extension</v>
      </c>
      <c r="B3047" s="4" t="s">
        <v>732</v>
      </c>
      <c r="C3047" s="8" t="s">
        <v>5</v>
      </c>
      <c r="D3047" s="11" t="s">
        <v>2937</v>
      </c>
    </row>
    <row r="3048" spans="1:4" ht="30">
      <c r="A3048" s="5" t="str">
        <f>HYPERLINK("https://www.oit.va.gov/Services/TRM/ToolPage.aspx?tid=6269^","MAGic Screen Magnification Software")</f>
        <v>MAGic Screen Magnification Software</v>
      </c>
      <c r="B3048" s="4" t="s">
        <v>732</v>
      </c>
      <c r="C3048" s="8" t="s">
        <v>5</v>
      </c>
      <c r="D3048" s="11" t="s">
        <v>5318</v>
      </c>
    </row>
    <row r="3049" spans="1:4" ht="30">
      <c r="A3049" s="5" t="str">
        <f>HYPERLINK("https://www.oit.va.gov/Services/TRM/ToolPage.aspx?tid=14109^","Eye-Pal Reader")</f>
        <v>Eye-Pal Reader</v>
      </c>
      <c r="B3049" s="4" t="s">
        <v>732</v>
      </c>
      <c r="C3049" s="8" t="s">
        <v>5</v>
      </c>
      <c r="D3049" s="11" t="s">
        <v>979</v>
      </c>
    </row>
    <row r="3050" spans="1:4" ht="30">
      <c r="A3050" s="5" t="str">
        <f>HYPERLINK("https://www.oit.va.gov/Services/TRM/ToolPage.aspx?tid=14712^","Network Authorization Utilities")</f>
        <v>Network Authorization Utilities</v>
      </c>
      <c r="B3050" s="4" t="s">
        <v>732</v>
      </c>
      <c r="C3050" s="8" t="s">
        <v>5</v>
      </c>
      <c r="D3050" s="11" t="s">
        <v>4754</v>
      </c>
    </row>
    <row r="3051" spans="1:4" ht="30">
      <c r="A3051" s="5" t="str">
        <f>HYPERLINK("https://www.oit.va.gov/Services/TRM/ToolPage.aspx?tid=9589^","Wynn")</f>
        <v>Wynn</v>
      </c>
      <c r="B3051" s="4" t="s">
        <v>732</v>
      </c>
      <c r="C3051" s="8" t="s">
        <v>5</v>
      </c>
      <c r="D3051" s="11" t="s">
        <v>7350</v>
      </c>
    </row>
    <row r="3052" spans="1:4" ht="30">
      <c r="A3052" s="5" t="str">
        <f>HYPERLINK("https://www.oit.va.gov/Services/TRM/ToolPage.aspx?tid=7494^","FreeFileSync")</f>
        <v>FreeFileSync</v>
      </c>
      <c r="B3052" s="4" t="s">
        <v>2611</v>
      </c>
      <c r="C3052" s="8" t="s">
        <v>5</v>
      </c>
      <c r="D3052" s="11" t="s">
        <v>2612</v>
      </c>
    </row>
    <row r="3053" spans="1:4" ht="30">
      <c r="A3053" s="5" t="str">
        <f>HYPERLINK("https://www.oit.va.gov/Services/TRM/ToolPage.aspx?tid=13920^","Free ISO Burner")</f>
        <v>Free ISO Burner</v>
      </c>
      <c r="B3053" s="4" t="s">
        <v>7949</v>
      </c>
      <c r="C3053" s="8" t="s">
        <v>5</v>
      </c>
      <c r="D3053" s="11" t="s">
        <v>7950</v>
      </c>
    </row>
    <row r="3054" spans="1:4" ht="30">
      <c r="A3054" s="5" t="str">
        <f>HYPERLINK("https://www.oit.va.gov/Services/TRM/ToolPage.aspx?tid=9702^","Video Downloader")</f>
        <v>Video Downloader</v>
      </c>
      <c r="B3054" s="4" t="s">
        <v>8872</v>
      </c>
      <c r="C3054" s="8" t="s">
        <v>5</v>
      </c>
      <c r="D3054" s="11" t="s">
        <v>8873</v>
      </c>
    </row>
    <row r="3055" spans="1:4" ht="30">
      <c r="A3055" s="5" t="str">
        <f>HYPERLINK("https://www.oit.va.gov/Services/TRM/ToolPage.aspx?tid=6633^","FreeMind")</f>
        <v>FreeMind</v>
      </c>
      <c r="B3055" s="4" t="s">
        <v>7961</v>
      </c>
      <c r="C3055" s="8" t="s">
        <v>5</v>
      </c>
      <c r="D3055" s="11" t="s">
        <v>707</v>
      </c>
    </row>
    <row r="3056" spans="1:4" ht="30">
      <c r="A3056" s="5" t="str">
        <f>HYPERLINK("https://www.oit.va.gov/Services/TRM/ToolPage.aspx?tid=16791^","Free Remote Authentication Dial In User Service (FreeRADIUS)")</f>
        <v>Free Remote Authentication Dial In User Service (FreeRADIUS)</v>
      </c>
      <c r="B3056" s="4" t="s">
        <v>1557</v>
      </c>
      <c r="C3056" s="8" t="s">
        <v>5</v>
      </c>
      <c r="D3056" s="11" t="s">
        <v>1558</v>
      </c>
    </row>
    <row r="3057" spans="1:4" ht="30">
      <c r="A3057" s="5" t="str">
        <f>HYPERLINK("https://www.oit.va.gov/Services/TRM/ToolPage.aspx?tid=15256^","IconRestorer")</f>
        <v>IconRestorer</v>
      </c>
      <c r="B3057" s="4" t="s">
        <v>8050</v>
      </c>
      <c r="C3057" s="8" t="s">
        <v>5</v>
      </c>
      <c r="D3057" s="11" t="s">
        <v>5285</v>
      </c>
    </row>
    <row r="3058" spans="1:4" ht="30">
      <c r="A3058" s="5" t="str">
        <f>HYPERLINK("https://www.oit.va.gov/Services/TRM/ToolPage.aspx?tid=13196^","FreeType")</f>
        <v>FreeType</v>
      </c>
      <c r="B3058" s="4" t="s">
        <v>4156</v>
      </c>
      <c r="C3058" s="8" t="s">
        <v>5</v>
      </c>
      <c r="D3058" s="11" t="s">
        <v>4157</v>
      </c>
    </row>
    <row r="3059" spans="1:4" ht="30">
      <c r="A3059" s="5" t="str">
        <f>HYPERLINK("https://www.oit.va.gov/Services/TRM/ToolPage.aspx?tid=14905^","Re-Act Broset Violence Checklist (BVC)")</f>
        <v>Re-Act Broset Violence Checklist (BVC)</v>
      </c>
      <c r="B3059" s="4" t="s">
        <v>6029</v>
      </c>
      <c r="C3059" s="8" t="s">
        <v>5</v>
      </c>
      <c r="D3059" s="11" t="s">
        <v>2869</v>
      </c>
    </row>
    <row r="3060" spans="1:4" ht="30">
      <c r="A3060" s="5" t="str">
        <f>HYPERLINK("https://www.oit.va.gov/Services/TRM/ToolPage.aspx?tid=11731^","Sprinkler Profile And Coverage Evaluation (SPACE) Pro")</f>
        <v>Sprinkler Profile And Coverage Evaluation (SPACE) Pro</v>
      </c>
      <c r="B3060" s="4" t="s">
        <v>8715</v>
      </c>
      <c r="C3060" s="8" t="s">
        <v>5</v>
      </c>
      <c r="D3060" s="11" t="s">
        <v>3091</v>
      </c>
    </row>
    <row r="3061" spans="1:4" ht="30">
      <c r="A3061" s="5" t="str">
        <f>HYPERLINK("https://www.oit.va.gov/Services/TRM/ToolPage.aspx?tid=8108^","For The Record (FTR) Player")</f>
        <v>For The Record (FTR) Player</v>
      </c>
      <c r="B3061" s="4" t="s">
        <v>2608</v>
      </c>
      <c r="C3061" s="8" t="s">
        <v>5</v>
      </c>
      <c r="D3061" s="11" t="s">
        <v>560</v>
      </c>
    </row>
    <row r="3062" spans="1:4" ht="30">
      <c r="A3062" s="5" t="str">
        <f>HYPERLINK("https://www.oit.va.gov/Services/TRM/ToolPage.aspx?tid=7440^","For the Record (FTR) Reporter")</f>
        <v>For the Record (FTR) Reporter</v>
      </c>
      <c r="B3062" s="4" t="s">
        <v>2608</v>
      </c>
      <c r="C3062" s="8" t="s">
        <v>5</v>
      </c>
      <c r="D3062" s="11" t="s">
        <v>4147</v>
      </c>
    </row>
    <row r="3063" spans="1:4" ht="30">
      <c r="A3063" s="5" t="str">
        <f>HYPERLINK("https://www.oit.va.gov/Services/TRM/ToolPage.aspx?tid=7439^","For the Record (FTR) Manager")</f>
        <v>For the Record (FTR) Manager</v>
      </c>
      <c r="B3063" s="4" t="s">
        <v>2608</v>
      </c>
      <c r="C3063" s="8" t="s">
        <v>5</v>
      </c>
      <c r="D3063" s="11" t="s">
        <v>2002</v>
      </c>
    </row>
    <row r="3064" spans="1:4" ht="30">
      <c r="A3064" s="5" t="str">
        <f>HYPERLINK("https://www.oit.va.gov/Services/TRM/ToolPage.aspx?tid=16176^","FUJIFILM Synapse Chrome Extension")</f>
        <v>FUJIFILM Synapse Chrome Extension</v>
      </c>
      <c r="B3064" s="4" t="s">
        <v>4161</v>
      </c>
      <c r="C3064" s="8" t="s">
        <v>5</v>
      </c>
      <c r="D3064" s="11" t="s">
        <v>4162</v>
      </c>
    </row>
    <row r="3065" spans="1:4" ht="30">
      <c r="A3065" s="5" t="str">
        <f>HYPERLINK("https://www.oit.va.gov/Services/TRM/ToolPage.aspx?tid=14334^","Synapse Cardiovascular PACS")</f>
        <v>Synapse Cardiovascular PACS</v>
      </c>
      <c r="B3065" s="4" t="s">
        <v>4161</v>
      </c>
      <c r="C3065" s="8" t="s">
        <v>5</v>
      </c>
      <c r="D3065" s="11" t="s">
        <v>3983</v>
      </c>
    </row>
    <row r="3066" spans="1:4" ht="30">
      <c r="A3066" s="5" t="str">
        <f>HYPERLINK("https://www.oit.va.gov/Services/TRM/ToolPage.aspx?tid=14703^","SonoSite Synchronicity")</f>
        <v>SonoSite Synchronicity</v>
      </c>
      <c r="B3066" s="4" t="s">
        <v>4825</v>
      </c>
      <c r="C3066" s="8" t="s">
        <v>5</v>
      </c>
      <c r="D3066" s="11" t="s">
        <v>2950</v>
      </c>
    </row>
    <row r="3067" spans="1:4" ht="30">
      <c r="A3067" s="5" t="str">
        <f>HYPERLINK("https://www.oit.va.gov/Services/TRM/ToolPage.aspx?tid=6127^","ScandAll Pro")</f>
        <v>ScandAll Pro</v>
      </c>
      <c r="B3067" s="4" t="s">
        <v>842</v>
      </c>
      <c r="C3067" s="8" t="s">
        <v>5</v>
      </c>
      <c r="D3067" s="11" t="s">
        <v>843</v>
      </c>
    </row>
    <row r="3068" spans="1:4" ht="30">
      <c r="A3068" s="5" t="str">
        <f>HYPERLINK("https://www.oit.va.gov/Services/TRM/ToolPage.aspx?tid=14224^","ScanSnap Home")</f>
        <v>ScanSnap Home</v>
      </c>
      <c r="B3068" s="4" t="s">
        <v>842</v>
      </c>
      <c r="C3068" s="8" t="s">
        <v>5</v>
      </c>
      <c r="D3068" s="11" t="s">
        <v>310</v>
      </c>
    </row>
    <row r="3069" spans="1:4" ht="30">
      <c r="A3069" s="5" t="str">
        <f>HYPERLINK("https://www.oit.va.gov/Services/TRM/ToolPage.aspx?tid=5715^","ScanSnap Manager")</f>
        <v>ScanSnap Manager</v>
      </c>
      <c r="B3069" s="4" t="s">
        <v>842</v>
      </c>
      <c r="C3069" s="8" t="s">
        <v>5</v>
      </c>
      <c r="D3069" s="11" t="s">
        <v>1699</v>
      </c>
    </row>
    <row r="3070" spans="1:4" ht="30">
      <c r="A3070" s="5" t="str">
        <f>HYPERLINK("https://www.oit.va.gov/Services/TRM/ToolPage.aspx?tid=12886^","ScanSnap Manager for fi Series")</f>
        <v>ScanSnap Manager for fi Series</v>
      </c>
      <c r="B3070" s="4" t="s">
        <v>842</v>
      </c>
      <c r="C3070" s="8" t="s">
        <v>5</v>
      </c>
      <c r="D3070" s="11" t="s">
        <v>4760</v>
      </c>
    </row>
    <row r="3071" spans="1:4" ht="30">
      <c r="A3071" s="5" t="str">
        <f>HYPERLINK("https://www.oit.va.gov/Services/TRM/ToolPage.aspx?tid=5716^","ScanSnap Organizer")</f>
        <v>ScanSnap Organizer</v>
      </c>
      <c r="B3071" s="4" t="s">
        <v>842</v>
      </c>
      <c r="C3071" s="8" t="s">
        <v>5</v>
      </c>
      <c r="D3071" s="11" t="s">
        <v>4761</v>
      </c>
    </row>
    <row r="3072" spans="1:4" ht="30">
      <c r="A3072" s="5" t="str">
        <f>HYPERLINK("https://www.oit.va.gov/Services/TRM/ToolPage.aspx?tid=10734^","Scanner Central Admin")</f>
        <v>Scanner Central Admin</v>
      </c>
      <c r="B3072" s="4" t="s">
        <v>842</v>
      </c>
      <c r="C3072" s="8" t="s">
        <v>5</v>
      </c>
      <c r="D3072" s="11" t="s">
        <v>4318</v>
      </c>
    </row>
    <row r="3073" spans="1:4" ht="30">
      <c r="A3073" s="5" t="str">
        <f>HYPERLINK("https://www.oit.va.gov/Services/TRM/ToolPage.aspx?tid=15508^","ABBYY FineReader for ScanSnap")</f>
        <v>ABBYY FineReader for ScanSnap</v>
      </c>
      <c r="B3073" s="4" t="s">
        <v>842</v>
      </c>
      <c r="C3073" s="8" t="s">
        <v>5</v>
      </c>
      <c r="D3073" s="11" t="s">
        <v>7365</v>
      </c>
    </row>
    <row r="3074" spans="1:4" ht="30">
      <c r="A3074" s="5" t="str">
        <f>HYPERLINK("https://www.oit.va.gov/Services/TRM/ToolPage.aspx?tid=5593^","CardMinder")</f>
        <v>CardMinder</v>
      </c>
      <c r="B3074" s="4" t="s">
        <v>842</v>
      </c>
      <c r="C3074" s="8" t="s">
        <v>5</v>
      </c>
      <c r="D3074" s="11" t="s">
        <v>7615</v>
      </c>
    </row>
    <row r="3075" spans="1:4" ht="30">
      <c r="A3075" s="5" t="str">
        <f>HYPERLINK("https://www.oit.va.gov/Services/TRM/ToolPage.aspx?tid=15495^","ScanSnap Rack2-Filer Smart")</f>
        <v>ScanSnap Rack2-Filer Smart</v>
      </c>
      <c r="B3075" s="4" t="s">
        <v>842</v>
      </c>
      <c r="C3075" s="8" t="s">
        <v>5</v>
      </c>
      <c r="D3075" s="11" t="s">
        <v>8595</v>
      </c>
    </row>
    <row r="3076" spans="1:4" ht="30">
      <c r="A3076" s="5" t="str">
        <f>HYPERLINK("https://www.oit.va.gov/Services/TRM/ToolPage.aspx?tid=15496^","ScanSnap Receipt")</f>
        <v>ScanSnap Receipt</v>
      </c>
      <c r="B3076" s="4" t="s">
        <v>842</v>
      </c>
      <c r="C3076" s="8" t="s">
        <v>5</v>
      </c>
      <c r="D3076" s="11" t="s">
        <v>8595</v>
      </c>
    </row>
    <row r="3077" spans="1:4" ht="30">
      <c r="A3077" s="5" t="str">
        <f>HYPERLINK("https://www.oit.va.gov/Services/TRM/ToolPage.aspx?tid=15497^","ScanSnap Scan to Microsoft SharePoint")</f>
        <v>ScanSnap Scan to Microsoft SharePoint</v>
      </c>
      <c r="B3077" s="4" t="s">
        <v>842</v>
      </c>
      <c r="C3077" s="8" t="s">
        <v>5</v>
      </c>
      <c r="D3077" s="11" t="s">
        <v>8596</v>
      </c>
    </row>
    <row r="3078" spans="1:4" ht="30">
      <c r="A3078" s="5" t="str">
        <f>HYPERLINK("https://www.oit.va.gov/Services/TRM/ToolPage.aspx?tid=13466^","DiskCatalogMaker")</f>
        <v>DiskCatalogMaker</v>
      </c>
      <c r="B3078" s="4" t="s">
        <v>6525</v>
      </c>
      <c r="C3078" s="8" t="s">
        <v>5</v>
      </c>
      <c r="D3078" s="11" t="s">
        <v>6526</v>
      </c>
    </row>
    <row r="3079" spans="1:4" ht="30">
      <c r="A3079" s="5" t="str">
        <f>HYPERLINK("https://www.oit.va.gov/Services/TRM/ToolPage.aspx?tid=14473^","Search and Replace")</f>
        <v>Search and Replace</v>
      </c>
      <c r="B3079" s="4" t="s">
        <v>3507</v>
      </c>
      <c r="C3079" s="8" t="s">
        <v>5</v>
      </c>
      <c r="D3079" s="11" t="s">
        <v>3508</v>
      </c>
    </row>
    <row r="3080" spans="1:4" ht="30">
      <c r="A3080" s="5" t="str">
        <f>HYPERLINK("https://www.oit.va.gov/Services/TRM/ToolPage.aspx?tid=11549^","Fundus Photo New Vision Ophthalmic Imaging Software")</f>
        <v>Fundus Photo New Vision Ophthalmic Imaging Software</v>
      </c>
      <c r="B3080" s="4" t="s">
        <v>7963</v>
      </c>
      <c r="C3080" s="8" t="s">
        <v>5</v>
      </c>
      <c r="D3080" s="11" t="s">
        <v>7964</v>
      </c>
    </row>
    <row r="3081" spans="1:4" ht="30">
      <c r="A3081" s="5" t="str">
        <f>HYPERLINK("https://www.oit.va.gov/Services/TRM/ToolPage.aspx?tid=5924^","Contact Director")</f>
        <v>Contact Director</v>
      </c>
      <c r="B3081" s="4" t="s">
        <v>7696</v>
      </c>
      <c r="C3081" s="8" t="s">
        <v>5</v>
      </c>
      <c r="D3081" s="11" t="s">
        <v>7697</v>
      </c>
    </row>
    <row r="3082" spans="1:4" ht="30">
      <c r="A3082" s="5" t="str">
        <f>HYPERLINK("https://www.oit.va.gov/Services/TRM/ToolPage.aspx?tid=6928^","Technology for Business (TFB) Automated Outbound Campaigns")</f>
        <v>Technology for Business (TFB) Automated Outbound Campaigns</v>
      </c>
      <c r="B3082" s="4" t="s">
        <v>7696</v>
      </c>
      <c r="C3082" s="8" t="s">
        <v>5</v>
      </c>
      <c r="D3082" s="11" t="s">
        <v>8055</v>
      </c>
    </row>
    <row r="3083" spans="1:4" ht="30">
      <c r="A3083" s="5" t="str">
        <f>HYPERLINK("https://www.oit.va.gov/Services/TRM/ToolPage.aspx?tid=8168^","Futrex Connect")</f>
        <v>Futrex Connect</v>
      </c>
      <c r="B3083" s="4" t="s">
        <v>1564</v>
      </c>
      <c r="C3083" s="8" t="s">
        <v>5</v>
      </c>
      <c r="D3083" s="11" t="s">
        <v>644</v>
      </c>
    </row>
    <row r="3084" spans="1:4" ht="30">
      <c r="A3084" s="5" t="str">
        <f>HYPERLINK("https://www.oit.va.gov/Services/TRM/ToolPage.aspx?tid=10543^","iVoice Dictation Server")</f>
        <v>iVoice Dictation Server</v>
      </c>
      <c r="B3084" s="4" t="s">
        <v>6740</v>
      </c>
      <c r="C3084" s="8" t="s">
        <v>5</v>
      </c>
      <c r="D3084" s="11" t="s">
        <v>2185</v>
      </c>
    </row>
    <row r="3085" spans="1:4" ht="30">
      <c r="A3085" s="5" t="str">
        <f>HYPERLINK("https://www.oit.va.gov/Services/TRM/ToolPage.aspx?tid=7974^","Fuze")</f>
        <v>Fuze</v>
      </c>
      <c r="B3085" s="4" t="s">
        <v>7965</v>
      </c>
      <c r="C3085" s="8" t="s">
        <v>5</v>
      </c>
      <c r="D3085" s="11" t="s">
        <v>7966</v>
      </c>
    </row>
    <row r="3086" spans="1:4" ht="30">
      <c r="A3086" s="5" t="str">
        <f>HYPERLINK("https://www.oit.va.gov/Services/TRM/ToolPage.aspx?tid=7617^","Stereo3D Toolbox")</f>
        <v>Stereo3D Toolbox</v>
      </c>
      <c r="B3086" s="4" t="s">
        <v>5525</v>
      </c>
      <c r="C3086" s="8" t="s">
        <v>5</v>
      </c>
      <c r="D3086" s="11" t="s">
        <v>5526</v>
      </c>
    </row>
    <row r="3087" spans="1:4" ht="30">
      <c r="A3087" s="5" t="str">
        <f>HYPERLINK("https://www.oit.va.gov/Services/TRM/ToolPage.aspx?tid=14428^","Portable Document Format Meld (PDF Meld)")</f>
        <v>Portable Document Format Meld (PDF Meld)</v>
      </c>
      <c r="B3087" s="4" t="s">
        <v>3459</v>
      </c>
      <c r="C3087" s="8" t="s">
        <v>5</v>
      </c>
      <c r="D3087" s="11" t="s">
        <v>3460</v>
      </c>
    </row>
    <row r="3088" spans="1:4" ht="30">
      <c r="A3088" s="5" t="str">
        <f>HYPERLINK("https://www.oit.va.gov/Services/TRM/ToolPage.aspx?tid=10589^","PrintScreen")</f>
        <v>PrintScreen</v>
      </c>
      <c r="B3088" s="4" t="s">
        <v>3464</v>
      </c>
      <c r="C3088" s="8" t="s">
        <v>5</v>
      </c>
      <c r="D3088" s="11" t="s">
        <v>3275</v>
      </c>
    </row>
    <row r="3089" spans="1:4" ht="30">
      <c r="A3089" s="5" t="str">
        <f>HYPERLINK("https://www.oit.va.gov/Services/TRM/ToolPage.aspx?tid=12909^","System Galaxy")</f>
        <v>System Galaxy</v>
      </c>
      <c r="B3089" s="4" t="s">
        <v>4882</v>
      </c>
      <c r="C3089" s="8" t="s">
        <v>5</v>
      </c>
      <c r="D3089" s="11" t="s">
        <v>3539</v>
      </c>
    </row>
    <row r="3090" spans="1:4" ht="30">
      <c r="A3090" s="5" t="str">
        <f>HYPERLINK("https://www.oit.va.gov/Services/TRM/ToolPage.aspx?tid=7609^","Galileo")</f>
        <v>Galileo</v>
      </c>
      <c r="B3090" s="4" t="s">
        <v>5207</v>
      </c>
      <c r="C3090" s="8" t="s">
        <v>5</v>
      </c>
      <c r="D3090" s="11" t="s">
        <v>5208</v>
      </c>
    </row>
    <row r="3091" spans="1:4" ht="30">
      <c r="A3091" s="5" t="str">
        <f>HYPERLINK("https://www.oit.va.gov/Services/TRM/ToolPage.aspx?tid=14344^","Glink")</f>
        <v>Glink</v>
      </c>
      <c r="B3091" s="4" t="s">
        <v>1574</v>
      </c>
      <c r="C3091" s="8" t="s">
        <v>5</v>
      </c>
      <c r="D3091" s="11" t="s">
        <v>1575</v>
      </c>
    </row>
    <row r="3092" spans="1:4" ht="30">
      <c r="A3092" s="5" t="str">
        <f>HYPERLINK("https://www.oit.va.gov/Services/TRM/ToolPage.aspx?tid=7363^","Garmin Express")</f>
        <v>Garmin Express</v>
      </c>
      <c r="B3092" s="4" t="s">
        <v>4170</v>
      </c>
      <c r="C3092" s="8" t="s">
        <v>5</v>
      </c>
      <c r="D3092" s="11" t="s">
        <v>1532</v>
      </c>
    </row>
    <row r="3093" spans="1:4" ht="30">
      <c r="A3093" s="5" t="str">
        <f>HYPERLINK("https://www.oit.va.gov/Services/TRM/ToolPage.aspx?tid=9380^","Street Atlas USA Plus")</f>
        <v>Street Atlas USA Plus</v>
      </c>
      <c r="B3093" s="4" t="s">
        <v>4170</v>
      </c>
      <c r="C3093" s="8" t="s">
        <v>5</v>
      </c>
      <c r="D3093" s="11" t="s">
        <v>1316</v>
      </c>
    </row>
    <row r="3094" spans="1:4" ht="30">
      <c r="A3094" s="5" t="str">
        <f>HYPERLINK("https://www.oit.va.gov/Services/TRM/ToolPage.aspx?tid=7788^","Amelia II")</f>
        <v>Amelia II</v>
      </c>
      <c r="B3094" s="4" t="s">
        <v>6267</v>
      </c>
      <c r="C3094" s="8" t="s">
        <v>5</v>
      </c>
      <c r="D3094" s="11" t="s">
        <v>2395</v>
      </c>
    </row>
    <row r="3095" spans="1:4" ht="30">
      <c r="A3095" s="5" t="str">
        <f>HYPERLINK("https://www.oit.va.gov/Services/TRM/ToolPage.aspx?tid=13035^","BinMaker Pro")</f>
        <v>BinMaker Pro</v>
      </c>
      <c r="B3095" s="4" t="s">
        <v>7554</v>
      </c>
      <c r="C3095" s="8" t="s">
        <v>5</v>
      </c>
      <c r="D3095" s="11" t="s">
        <v>4401</v>
      </c>
    </row>
    <row r="3096" spans="1:4" ht="30">
      <c r="A3096" s="5" t="str">
        <f>HYPERLINK("https://www.oit.va.gov/Services/TRM/ToolPage.aspx?tid=14772^","Gatan Microscopy Suite")</f>
        <v>Gatan Microscopy Suite</v>
      </c>
      <c r="B3096" s="4" t="s">
        <v>5821</v>
      </c>
      <c r="C3096" s="8" t="s">
        <v>5</v>
      </c>
      <c r="D3096" s="11" t="s">
        <v>1652</v>
      </c>
    </row>
    <row r="3097" spans="1:4" ht="30">
      <c r="A3097" s="5" t="str">
        <f>HYPERLINK("https://www.oit.va.gov/Services/TRM/ToolPage.aspx?tid=14083^","Gatsby.js")</f>
        <v>Gatsby.js</v>
      </c>
      <c r="B3097" s="4" t="s">
        <v>62</v>
      </c>
      <c r="C3097" s="8" t="s">
        <v>5</v>
      </c>
      <c r="D3097" s="11" t="s">
        <v>63</v>
      </c>
    </row>
    <row r="3098" spans="1:4" ht="30">
      <c r="A3098" s="5" t="str">
        <f>HYPERLINK("https://www.oit.va.gov/Services/TRM/ToolPage.aspx?tid=10880^","Xeleris")</f>
        <v>Xeleris</v>
      </c>
      <c r="B3098" s="4" t="s">
        <v>164</v>
      </c>
      <c r="C3098" s="8" t="s">
        <v>5</v>
      </c>
      <c r="D3098" s="11" t="s">
        <v>165</v>
      </c>
    </row>
    <row r="3099" spans="1:4" ht="30">
      <c r="A3099" s="5" t="str">
        <f>HYPERLINK("https://www.oit.va.gov/Services/TRM/ToolPage.aspx?tid=6947^","CardioSoft Diagnostic System")</f>
        <v>CardioSoft Diagnostic System</v>
      </c>
      <c r="B3099" s="4" t="s">
        <v>164</v>
      </c>
      <c r="C3099" s="8" t="s">
        <v>5</v>
      </c>
      <c r="D3099" s="11" t="s">
        <v>611</v>
      </c>
    </row>
    <row r="3100" spans="1:4" ht="30">
      <c r="A3100" s="5" t="str">
        <f>HYPERLINK("https://www.oit.va.gov/Services/TRM/ToolPage.aspx?tid=10888^","Centricity Cardio Workflow (CCW)")</f>
        <v>Centricity Cardio Workflow (CCW)</v>
      </c>
      <c r="B3100" s="4" t="s">
        <v>164</v>
      </c>
      <c r="C3100" s="8" t="s">
        <v>5</v>
      </c>
      <c r="D3100" s="11" t="s">
        <v>1414</v>
      </c>
    </row>
    <row r="3101" spans="1:4" ht="30">
      <c r="A3101" s="5" t="str">
        <f>HYPERLINK("https://www.oit.va.gov/Services/TRM/ToolPage.aspx?tid=10887^","Centricity Universal Viewer (CUV)")</f>
        <v>Centricity Universal Viewer (CUV)</v>
      </c>
      <c r="B3101" s="4" t="s">
        <v>164</v>
      </c>
      <c r="C3101" s="8" t="s">
        <v>5</v>
      </c>
      <c r="D3101" s="11" t="s">
        <v>1415</v>
      </c>
    </row>
    <row r="3102" spans="1:4" ht="30">
      <c r="A3102" s="5" t="str">
        <f>HYPERLINK("https://www.oit.va.gov/Services/TRM/ToolPage.aspx?tid=16843^","Invenia ABUS Viewer")</f>
        <v>Invenia ABUS Viewer</v>
      </c>
      <c r="B3102" s="4" t="s">
        <v>164</v>
      </c>
      <c r="C3102" s="8" t="s">
        <v>5</v>
      </c>
      <c r="D3102" s="11" t="s">
        <v>1662</v>
      </c>
    </row>
    <row r="3103" spans="1:4" ht="30">
      <c r="A3103" s="5" t="str">
        <f>HYPERLINK("https://www.oit.va.gov/Services/TRM/ToolPage.aspx?tid=6350^","Centricity Perioperative")</f>
        <v>Centricity Perioperative</v>
      </c>
      <c r="B3103" s="4" t="s">
        <v>164</v>
      </c>
      <c r="C3103" s="8" t="s">
        <v>5</v>
      </c>
      <c r="D3103" s="11" t="s">
        <v>2452</v>
      </c>
    </row>
    <row r="3104" spans="1:4" ht="30">
      <c r="A3104" s="5" t="str">
        <f>HYPERLINK("https://www.oit.va.gov/Services/TRM/ToolPage.aspx?tid=15897^","DaTQUANT Client")</f>
        <v>DaTQUANT Client</v>
      </c>
      <c r="B3104" s="4" t="s">
        <v>164</v>
      </c>
      <c r="C3104" s="8" t="s">
        <v>5</v>
      </c>
      <c r="D3104" s="11" t="s">
        <v>3246</v>
      </c>
    </row>
    <row r="3105" spans="1:4" ht="30">
      <c r="A3105" s="5" t="str">
        <f>HYPERLINK("https://www.oit.va.gov/Services/TRM/ToolPage.aspx?tid=16363^","GE CareScape Gateway")</f>
        <v>GE CareScape Gateway</v>
      </c>
      <c r="B3105" s="4" t="s">
        <v>164</v>
      </c>
      <c r="C3105" s="8" t="s">
        <v>5</v>
      </c>
      <c r="D3105" s="11" t="s">
        <v>3310</v>
      </c>
    </row>
    <row r="3106" spans="1:4" ht="30">
      <c r="A3106" s="5" t="str">
        <f>HYPERLINK("https://www.oit.va.gov/Services/TRM/ToolPage.aspx?tid=15374^","General Electric (GE) Advanced Workstation (AW) Server Client")</f>
        <v>General Electric (GE) Advanced Workstation (AW) Server Client</v>
      </c>
      <c r="B3106" s="4" t="s">
        <v>164</v>
      </c>
      <c r="C3106" s="8" t="s">
        <v>5</v>
      </c>
      <c r="D3106" s="11" t="s">
        <v>2160</v>
      </c>
    </row>
    <row r="3107" spans="1:4" ht="30">
      <c r="A3107" s="5" t="str">
        <f>HYPERLINK("https://www.oit.va.gov/Services/TRM/ToolPage.aspx?tid=8266^","MUSE Cardiology Information System")</f>
        <v>MUSE Cardiology Information System</v>
      </c>
      <c r="B3107" s="4" t="s">
        <v>164</v>
      </c>
      <c r="C3107" s="8" t="s">
        <v>5</v>
      </c>
      <c r="D3107" s="11" t="s">
        <v>811</v>
      </c>
    </row>
    <row r="3108" spans="1:4" ht="30">
      <c r="A3108" s="5" t="str">
        <f>HYPERLINK("https://www.oit.va.gov/Services/TRM/ToolPage.aspx?tid=16234^","SonoSim 365")</f>
        <v>SonoSim 365</v>
      </c>
      <c r="B3108" s="4" t="s">
        <v>164</v>
      </c>
      <c r="C3108" s="8" t="s">
        <v>5</v>
      </c>
      <c r="D3108" s="11" t="s">
        <v>4823</v>
      </c>
    </row>
    <row r="3109" spans="1:4" ht="30">
      <c r="A3109" s="5" t="str">
        <f>HYPERLINK("https://www.oit.va.gov/Services/TRM/ToolPage.aspx?tid=10409^","DoseWatch")</f>
        <v>DoseWatch</v>
      </c>
      <c r="B3109" s="4" t="s">
        <v>164</v>
      </c>
      <c r="C3109" s="8" t="s">
        <v>5</v>
      </c>
      <c r="D3109" s="11" t="s">
        <v>5155</v>
      </c>
    </row>
    <row r="3110" spans="1:4" ht="30">
      <c r="A3110" s="5" t="str">
        <f>HYPERLINK("https://www.oit.va.gov/Services/TRM/ToolPage.aspx?tid=11537^","Vscan Extend")</f>
        <v>Vscan Extend</v>
      </c>
      <c r="B3110" s="4" t="s">
        <v>164</v>
      </c>
      <c r="C3110" s="8" t="s">
        <v>5</v>
      </c>
      <c r="D3110" s="11" t="s">
        <v>3170</v>
      </c>
    </row>
    <row r="3111" spans="1:4" ht="30">
      <c r="A3111" s="5" t="str">
        <f>HYPERLINK("https://www.oit.va.gov/Services/TRM/ToolPage.aspx?tid=14498^","CardioDay Holter Electrocardiogram (ECG)")</f>
        <v>CardioDay Holter Electrocardiogram (ECG)</v>
      </c>
      <c r="B3111" s="4" t="s">
        <v>164</v>
      </c>
      <c r="C3111" s="8" t="s">
        <v>5</v>
      </c>
      <c r="D3111" s="11" t="s">
        <v>500</v>
      </c>
    </row>
    <row r="3112" spans="1:4" ht="30">
      <c r="A3112" s="5" t="str">
        <f>HYPERLINK("https://www.oit.va.gov/Services/TRM/ToolPage.aspx?tid=16434^","GE Capsule Aggregator")</f>
        <v>GE Capsule Aggregator</v>
      </c>
      <c r="B3112" s="4" t="s">
        <v>164</v>
      </c>
      <c r="C3112" s="8" t="s">
        <v>5</v>
      </c>
      <c r="D3112" s="11" t="s">
        <v>5822</v>
      </c>
    </row>
    <row r="3113" spans="1:4" ht="30">
      <c r="A3113" s="5" t="str">
        <f>HYPERLINK("https://www.oit.va.gov/Services/TRM/ToolPage.aspx?tid=11211^","MARS Ambulatory electrocardiogram (ECG) Software")</f>
        <v>MARS Ambulatory electrocardiogram (ECG) Software</v>
      </c>
      <c r="B3113" s="4" t="s">
        <v>164</v>
      </c>
      <c r="C3113" s="8" t="s">
        <v>5</v>
      </c>
      <c r="D3113" s="11" t="s">
        <v>2627</v>
      </c>
    </row>
    <row r="3114" spans="1:4" ht="30">
      <c r="A3114" s="5" t="str">
        <f>HYPERLINK("https://www.oit.va.gov/Services/TRM/ToolPage.aspx?tid=11559^","SEER 1000 Software")</f>
        <v>SEER 1000 Software</v>
      </c>
      <c r="B3114" s="4" t="s">
        <v>164</v>
      </c>
      <c r="C3114" s="8" t="s">
        <v>5</v>
      </c>
      <c r="D3114" s="11" t="s">
        <v>155</v>
      </c>
    </row>
    <row r="3115" spans="1:4" ht="30">
      <c r="A3115" s="5" t="str">
        <f>HYPERLINK("https://www.oit.va.gov/Services/TRM/ToolPage.aspx?tid=9209^","Trabecular Bone Scan (TBS) iNsight")</f>
        <v>Trabecular Bone Scan (TBS) iNsight</v>
      </c>
      <c r="B3115" s="4" t="s">
        <v>164</v>
      </c>
      <c r="C3115" s="8" t="s">
        <v>5</v>
      </c>
      <c r="D3115" s="11" t="s">
        <v>1964</v>
      </c>
    </row>
    <row r="3116" spans="1:4" ht="30">
      <c r="A3116" s="5" t="str">
        <f>HYPERLINK("https://www.oit.va.gov/Services/TRM/ToolPage.aspx?tid=14131^","Imaging Insights")</f>
        <v>Imaging Insights</v>
      </c>
      <c r="B3116" s="4" t="s">
        <v>164</v>
      </c>
      <c r="C3116" s="8" t="s">
        <v>5</v>
      </c>
      <c r="D3116" s="11" t="s">
        <v>5624</v>
      </c>
    </row>
    <row r="3117" spans="1:4" ht="30">
      <c r="A3117" s="5" t="str">
        <f>HYPERLINK("https://www.oit.va.gov/Services/TRM/ToolPage.aspx?tid=13766^","Centricity Cardiology Data Management Systems (DMS)")</f>
        <v>Centricity Cardiology Data Management Systems (DMS)</v>
      </c>
      <c r="B3117" s="4" t="s">
        <v>164</v>
      </c>
      <c r="C3117" s="8" t="s">
        <v>5</v>
      </c>
      <c r="D3117" s="11" t="s">
        <v>7628</v>
      </c>
    </row>
    <row r="3118" spans="1:4" ht="30">
      <c r="A3118" s="5" t="str">
        <f>HYPERLINK("https://www.oit.va.gov/Services/TRM/ToolPage.aspx?tid=13749^","Centricity Radiology Information System (RIS)-IC")</f>
        <v>Centricity Radiology Information System (RIS)-IC</v>
      </c>
      <c r="B3118" s="4" t="s">
        <v>164</v>
      </c>
      <c r="C3118" s="8" t="s">
        <v>5</v>
      </c>
      <c r="D3118" s="11" t="s">
        <v>385</v>
      </c>
    </row>
    <row r="3119" spans="1:4" ht="30">
      <c r="A3119" s="5" t="str">
        <f>HYPERLINK("https://www.oit.va.gov/Services/TRM/ToolPage.aspx?tid=14976^","NextGen LOGIQ e Ultrasound")</f>
        <v>NextGen LOGIQ e Ultrasound</v>
      </c>
      <c r="B3119" s="4" t="s">
        <v>164</v>
      </c>
      <c r="C3119" s="8" t="s">
        <v>5</v>
      </c>
      <c r="D3119" s="11" t="s">
        <v>1189</v>
      </c>
    </row>
    <row r="3120" spans="1:4" ht="30">
      <c r="A3120" s="5" t="str">
        <f>HYPERLINK("https://www.oit.va.gov/Services/TRM/ToolPage.aspx?tid=15320^","Utility Suite")</f>
        <v>Utility Suite</v>
      </c>
      <c r="B3120" s="4" t="s">
        <v>164</v>
      </c>
      <c r="C3120" s="8" t="s">
        <v>5</v>
      </c>
      <c r="D3120" s="11" t="s">
        <v>8856</v>
      </c>
    </row>
    <row r="3121" spans="1:4" ht="30">
      <c r="A3121" s="5" t="str">
        <f>HYPERLINK("https://www.oit.va.gov/Services/TRM/ToolPage.aspx?tid=11397^","ViewPoint Ultrasound Reporting")</f>
        <v>ViewPoint Ultrasound Reporting</v>
      </c>
      <c r="B3121" s="4" t="s">
        <v>164</v>
      </c>
      <c r="C3121" s="8" t="s">
        <v>5</v>
      </c>
      <c r="D3121" s="11" t="s">
        <v>458</v>
      </c>
    </row>
    <row r="3122" spans="1:4" ht="30">
      <c r="A3122" s="5" t="str">
        <f>HYPERLINK("https://www.oit.va.gov/Services/TRM/ToolPage.aspx?tid=16766^","Mouse Clicker")</f>
        <v>Mouse Clicker</v>
      </c>
      <c r="B3122" s="4" t="s">
        <v>5954</v>
      </c>
      <c r="C3122" s="8" t="s">
        <v>5</v>
      </c>
      <c r="D3122" s="11" t="s">
        <v>5955</v>
      </c>
    </row>
    <row r="3123" spans="1:4" ht="30">
      <c r="A3123" s="5" t="str">
        <f>HYPERLINK("https://www.oit.va.gov/Services/TRM/ToolPage.aspx?tid=9974^","SafeNet Authentication Manager")</f>
        <v>SafeNet Authentication Manager</v>
      </c>
      <c r="B3123" s="4" t="s">
        <v>7093</v>
      </c>
      <c r="C3123" s="8" t="s">
        <v>5</v>
      </c>
      <c r="D3123" s="11" t="s">
        <v>2121</v>
      </c>
    </row>
    <row r="3124" spans="1:4" ht="30">
      <c r="A3124" s="5" t="str">
        <f>HYPERLINK("https://www.oit.va.gov/Services/TRM/ToolPage.aspx?tid=14112^","Gen3 client")</f>
        <v>Gen3 client</v>
      </c>
      <c r="B3124" s="4" t="s">
        <v>4175</v>
      </c>
      <c r="C3124" s="8" t="s">
        <v>5</v>
      </c>
      <c r="D3124" s="11" t="s">
        <v>376</v>
      </c>
    </row>
    <row r="3125" spans="1:4" ht="30">
      <c r="A3125" s="5" t="str">
        <f>HYPERLINK("https://www.oit.va.gov/Services/TRM/ToolPage.aspx?tid=10638^","Genasys Protect")</f>
        <v>Genasys Protect</v>
      </c>
      <c r="B3125" s="4" t="s">
        <v>4176</v>
      </c>
      <c r="C3125" s="8" t="s">
        <v>5</v>
      </c>
      <c r="D3125" s="11" t="s">
        <v>962</v>
      </c>
    </row>
    <row r="3126" spans="1:4" ht="30">
      <c r="A3126" s="5" t="str">
        <f>HYPERLINK("https://www.oit.va.gov/Services/TRM/ToolPage.aspx?tid=15011^","Genasys Protect Alert")</f>
        <v>Genasys Protect Alert</v>
      </c>
      <c r="B3126" s="4" t="s">
        <v>4176</v>
      </c>
      <c r="C3126" s="8" t="s">
        <v>5</v>
      </c>
      <c r="D3126" s="11" t="s">
        <v>5799</v>
      </c>
    </row>
    <row r="3127" spans="1:4" ht="30">
      <c r="A3127" s="5" t="str">
        <f>HYPERLINK("https://www.oit.va.gov/Services/TRM/ToolPage.aspx?tid=14985^","Genasys Panic")</f>
        <v>Genasys Panic</v>
      </c>
      <c r="B3127" s="4" t="s">
        <v>4176</v>
      </c>
      <c r="C3127" s="8" t="s">
        <v>5</v>
      </c>
      <c r="D3127" s="11" t="s">
        <v>896</v>
      </c>
    </row>
    <row r="3128" spans="1:4" ht="30">
      <c r="A3128" s="5" t="str">
        <f>HYPERLINK("https://www.oit.va.gov/Services/TRM/ToolPage.aspx?tid=9429^","Sequencing-Based Typing (SBT) engine")</f>
        <v>Sequencing-Based Typing (SBT) engine</v>
      </c>
      <c r="B3128" s="4" t="s">
        <v>3514</v>
      </c>
      <c r="C3128" s="8" t="s">
        <v>5</v>
      </c>
      <c r="D3128" s="11" t="s">
        <v>1957</v>
      </c>
    </row>
    <row r="3129" spans="1:4" ht="30">
      <c r="A3129" s="5" t="str">
        <f>HYPERLINK("https://www.oit.va.gov/Services/TRM/ToolPage.aspx?tid=15434^","Next Generation Sequencing (NGS) Engine (NGSengine)")</f>
        <v>Next Generation Sequencing (NGS) Engine (NGSengine)</v>
      </c>
      <c r="B3129" s="4" t="s">
        <v>3514</v>
      </c>
      <c r="C3129" s="8" t="s">
        <v>5</v>
      </c>
      <c r="D3129" s="11" t="s">
        <v>6935</v>
      </c>
    </row>
    <row r="3130" spans="1:4" ht="30">
      <c r="A3130" s="5" t="str">
        <f>HYPERLINK("https://www.oit.va.gov/Services/TRM/ToolPage.aspx?tid=7215^","Sequencher")</f>
        <v>Sequencher</v>
      </c>
      <c r="B3130" s="4" t="s">
        <v>6061</v>
      </c>
      <c r="C3130" s="8" t="s">
        <v>5</v>
      </c>
      <c r="D3130" s="11" t="s">
        <v>6062</v>
      </c>
    </row>
    <row r="3131" spans="1:4" ht="30">
      <c r="A3131" s="5" t="str">
        <f>HYPERLINK("https://www.oit.va.gov/Services/TRM/ToolPage.aspx?tid=9694^","Geneious")</f>
        <v>Geneious</v>
      </c>
      <c r="B3131" s="4" t="s">
        <v>2618</v>
      </c>
      <c r="C3131" s="8" t="s">
        <v>5</v>
      </c>
      <c r="D3131" s="11" t="s">
        <v>2619</v>
      </c>
    </row>
    <row r="3132" spans="1:4" ht="30">
      <c r="A3132" s="5" t="str">
        <f>HYPERLINK("https://www.oit.va.gov/Services/TRM/ToolPage.aspx?tid=16821^","CAREpoint")</f>
        <v>CAREpoint</v>
      </c>
      <c r="B3132" s="4" t="s">
        <v>2443</v>
      </c>
      <c r="C3132" s="8" t="s">
        <v>5</v>
      </c>
      <c r="D3132" s="11" t="s">
        <v>2444</v>
      </c>
    </row>
    <row r="3133" spans="1:4" ht="30">
      <c r="A3133" s="5" t="str">
        <f>HYPERLINK("https://www.oit.va.gov/Services/TRM/ToolPage.aspx?tid=15790^","Light Activation Service (LAS)")</f>
        <v>Light Activation Service (LAS)</v>
      </c>
      <c r="B3133" s="4" t="s">
        <v>1690</v>
      </c>
      <c r="C3133" s="8" t="s">
        <v>5</v>
      </c>
      <c r="D3133" s="11" t="s">
        <v>1691</v>
      </c>
    </row>
    <row r="3134" spans="1:4" ht="30">
      <c r="A3134" s="5" t="str">
        <f>HYPERLINK("https://www.oit.va.gov/Services/TRM/ToolPage.aspx?tid=7706^","Public-Key Cryptography Standard (PKCS) 7 Document Signing Tool")</f>
        <v>Public-Key Cryptography Standard (PKCS) 7 Document Signing Tool</v>
      </c>
      <c r="B3134" s="4" t="s">
        <v>1690</v>
      </c>
      <c r="C3134" s="8" t="s">
        <v>5</v>
      </c>
      <c r="D3134" s="11" t="s">
        <v>5498</v>
      </c>
    </row>
    <row r="3135" spans="1:4" ht="30">
      <c r="A3135" s="5" t="str">
        <f>HYPERLINK("https://www.oit.va.gov/Services/TRM/ToolPage.aspx?tid=16735^","Genesys Cloud Background Assistant")</f>
        <v>Genesys Cloud Background Assistant</v>
      </c>
      <c r="B3135" s="4" t="s">
        <v>4179</v>
      </c>
      <c r="C3135" s="8" t="s">
        <v>5</v>
      </c>
      <c r="D3135" s="11" t="s">
        <v>4180</v>
      </c>
    </row>
    <row r="3136" spans="1:4" ht="30">
      <c r="A3136" s="5" t="str">
        <f>HYPERLINK("https://www.oit.va.gov/Services/TRM/ToolPage.aspx?tid=16726^","Genesys Cloud Desktop Application")</f>
        <v>Genesys Cloud Desktop Application</v>
      </c>
      <c r="B3136" s="4" t="s">
        <v>4179</v>
      </c>
      <c r="C3136" s="8" t="s">
        <v>5</v>
      </c>
      <c r="D3136" s="11" t="s">
        <v>4181</v>
      </c>
    </row>
    <row r="3137" spans="1:4" ht="30">
      <c r="A3137" s="5" t="str">
        <f>HYPERLINK("https://www.oit.va.gov/Services/TRM/ToolPage.aspx?tid=10488^","CCPulse+")</f>
        <v>CCPulse+</v>
      </c>
      <c r="B3137" s="4" t="s">
        <v>4179</v>
      </c>
      <c r="C3137" s="8" t="s">
        <v>5</v>
      </c>
      <c r="D3137" s="11" t="s">
        <v>5091</v>
      </c>
    </row>
    <row r="3138" spans="1:4" ht="30">
      <c r="A3138" s="5" t="str">
        <f>HYPERLINK("https://www.oit.va.gov/Services/TRM/ToolPage.aspx?tid=16256^","KiwiVision Video Analytics")</f>
        <v>KiwiVision Video Analytics</v>
      </c>
      <c r="B3138" s="4" t="s">
        <v>739</v>
      </c>
      <c r="C3138" s="8" t="s">
        <v>5</v>
      </c>
      <c r="D3138" s="11" t="s">
        <v>740</v>
      </c>
    </row>
    <row r="3139" spans="1:4" ht="30">
      <c r="A3139" s="5" t="str">
        <f>HYPERLINK("https://www.oit.va.gov/Services/TRM/ToolPage.aspx?tid=16679^","Genetec Video Player (GVP)")</f>
        <v>Genetec Video Player (GVP)</v>
      </c>
      <c r="B3139" s="4" t="s">
        <v>739</v>
      </c>
      <c r="C3139" s="8" t="s">
        <v>5</v>
      </c>
      <c r="D3139" s="11" t="s">
        <v>4182</v>
      </c>
    </row>
    <row r="3140" spans="1:4" ht="30">
      <c r="A3140" s="5" t="str">
        <f>HYPERLINK("https://www.oit.va.gov/Services/TRM/ToolPage.aspx?tid=16602^","Genetec Sipelia")</f>
        <v>Genetec Sipelia</v>
      </c>
      <c r="B3140" s="4" t="s">
        <v>2620</v>
      </c>
      <c r="C3140" s="8" t="s">
        <v>5</v>
      </c>
      <c r="D3140" s="11" t="s">
        <v>2621</v>
      </c>
    </row>
    <row r="3141" spans="1:4" ht="30">
      <c r="A3141" s="5" t="str">
        <f>HYPERLINK("https://www.oit.va.gov/Services/TRM/ToolPage.aspx?tid=15324^","SAMtools")</f>
        <v>SAMtools</v>
      </c>
      <c r="B3141" s="4" t="s">
        <v>3500</v>
      </c>
      <c r="C3141" s="8" t="s">
        <v>5</v>
      </c>
      <c r="D3141" s="11" t="s">
        <v>3501</v>
      </c>
    </row>
    <row r="3142" spans="1:4" ht="30">
      <c r="A3142" s="5" t="str">
        <f>HYPERLINK("https://www.oit.va.gov/Services/TRM/ToolPage.aspx?tid=15328^","BCFtools")</f>
        <v>BCFtools</v>
      </c>
      <c r="B3142" s="4" t="s">
        <v>3500</v>
      </c>
      <c r="C3142" s="8" t="s">
        <v>5</v>
      </c>
      <c r="D3142" s="11" t="s">
        <v>6332</v>
      </c>
    </row>
    <row r="3143" spans="1:4" ht="30">
      <c r="A3143" s="5" t="str">
        <f>HYPERLINK("https://www.oit.va.gov/Services/TRM/ToolPage.aspx?tid=15325^","HTSlib")</f>
        <v>HTSlib</v>
      </c>
      <c r="B3143" s="4" t="s">
        <v>3500</v>
      </c>
      <c r="C3143" s="8" t="s">
        <v>5</v>
      </c>
      <c r="D3143" s="11" t="s">
        <v>5724</v>
      </c>
    </row>
    <row r="3144" spans="1:4" ht="30">
      <c r="A3144" s="5" t="str">
        <f>HYPERLINK("https://www.oit.va.gov/Services/TRM/ToolPage.aspx?tid=7310^","GenoPro")</f>
        <v>GenoPro</v>
      </c>
      <c r="B3144" s="4" t="s">
        <v>2623</v>
      </c>
      <c r="C3144" s="8" t="s">
        <v>5</v>
      </c>
      <c r="D3144" s="11" t="s">
        <v>1480</v>
      </c>
    </row>
    <row r="3145" spans="1:4" ht="30">
      <c r="A3145" s="5" t="str">
        <f>HYPERLINK("https://www.oit.va.gov/Services/TRM/ToolPage.aspx?tid=257^","MyEclipse")</f>
        <v>MyEclipse</v>
      </c>
      <c r="B3145" s="4" t="s">
        <v>773</v>
      </c>
      <c r="C3145" s="8" t="s">
        <v>5</v>
      </c>
      <c r="D3145" s="11" t="s">
        <v>774</v>
      </c>
    </row>
    <row r="3146" spans="1:4" ht="30">
      <c r="A3146" s="5" t="str">
        <f>HYPERLINK("https://www.oit.va.gov/Services/TRM/ToolPage.aspx?tid=10494^","GeoDa")</f>
        <v>GeoDa</v>
      </c>
      <c r="B3146" s="4" t="s">
        <v>6644</v>
      </c>
      <c r="C3146" s="8" t="s">
        <v>5</v>
      </c>
      <c r="D3146" s="11" t="s">
        <v>974</v>
      </c>
    </row>
    <row r="3147" spans="1:4" ht="30">
      <c r="A3147" s="5" t="str">
        <f>HYPERLINK("https://www.oit.va.gov/Services/TRM/ToolPage.aspx?tid=15991^","Georgia SoftWorks Universal Terminal Server (UTS)")</f>
        <v>Georgia SoftWorks Universal Terminal Server (UTS)</v>
      </c>
      <c r="B3147" s="4" t="s">
        <v>1568</v>
      </c>
      <c r="C3147" s="8" t="s">
        <v>5</v>
      </c>
      <c r="D3147" s="11" t="s">
        <v>1569</v>
      </c>
    </row>
    <row r="3148" spans="1:4" ht="30">
      <c r="A3148" s="5" t="str">
        <f>HYPERLINK("https://www.oit.va.gov/Services/TRM/ToolPage.aspx?tid=10839^","Chemical Companion - Emergency Response Decision Support System (ERDSS)")</f>
        <v>Chemical Companion - Emergency Response Decision Support System (ERDSS)</v>
      </c>
      <c r="B3148" s="4" t="s">
        <v>7636</v>
      </c>
      <c r="C3148" s="8" t="s">
        <v>5</v>
      </c>
      <c r="D3148" s="11" t="s">
        <v>7606</v>
      </c>
    </row>
    <row r="3149" spans="1:4" ht="30">
      <c r="A3149" s="5" t="str">
        <f>HYPERLINK("https://www.oit.va.gov/Services/TRM/ToolPage.aspx?tid=7050^","GeoServer")</f>
        <v>GeoServer</v>
      </c>
      <c r="B3149" s="4" t="s">
        <v>6648</v>
      </c>
      <c r="C3149" s="8" t="s">
        <v>5</v>
      </c>
      <c r="D3149" s="11" t="s">
        <v>6063</v>
      </c>
    </row>
    <row r="3150" spans="1:4" ht="30">
      <c r="A3150" s="5" t="str">
        <f>HYPERLINK("https://www.oit.va.gov/Services/TRM/ToolPage.aspx?tid=11465^","Analyser Data Manager (ADM)")</f>
        <v>Analyser Data Manager (ADM)</v>
      </c>
      <c r="B3150" s="4" t="s">
        <v>6272</v>
      </c>
      <c r="C3150" s="8" t="s">
        <v>5</v>
      </c>
      <c r="D3150" s="11" t="s">
        <v>6273</v>
      </c>
    </row>
    <row r="3151" spans="1:4" ht="30">
      <c r="A3151" s="5" t="str">
        <f>HYPERLINK("https://www.oit.va.gov/Services/TRM/ToolPage.aspx?tid=13858^","Gephi")</f>
        <v>Gephi</v>
      </c>
      <c r="B3151" s="4" t="s">
        <v>7976</v>
      </c>
      <c r="C3151" s="8" t="s">
        <v>5</v>
      </c>
      <c r="D3151" s="11" t="s">
        <v>5605</v>
      </c>
    </row>
    <row r="3152" spans="1:4" ht="30">
      <c r="A3152" s="5" t="str">
        <f>HYPERLINK("https://www.oit.va.gov/Services/TRM/ToolPage.aspx?tid=9011^","Gerber OMEGA")</f>
        <v>Gerber OMEGA</v>
      </c>
      <c r="B3152" s="4" t="s">
        <v>2624</v>
      </c>
      <c r="C3152" s="8" t="s">
        <v>5</v>
      </c>
      <c r="D3152" s="11" t="s">
        <v>2625</v>
      </c>
    </row>
    <row r="3153" spans="1:4" ht="30">
      <c r="A3153" s="5" t="str">
        <f>HYPERLINK("https://www.oit.va.gov/Services/TRM/ToolPage.aspx?tid=10765^","Gesti&amp;#243;IP")</f>
        <v>Gesti&amp;#243;IP</v>
      </c>
      <c r="B3153" s="4" t="s">
        <v>7977</v>
      </c>
      <c r="C3153" s="8" t="s">
        <v>5</v>
      </c>
      <c r="D3153" s="11" t="s">
        <v>7978</v>
      </c>
    </row>
    <row r="3154" spans="1:4" ht="30">
      <c r="A3154" s="5" t="str">
        <f>HYPERLINK("https://www.oit.va.gov/Services/TRM/ToolPage.aspx?tid=14499^","AdBlock")</f>
        <v>AdBlock</v>
      </c>
      <c r="B3154" s="4" t="s">
        <v>6236</v>
      </c>
      <c r="C3154" s="8" t="s">
        <v>5</v>
      </c>
      <c r="D3154" s="11" t="s">
        <v>6237</v>
      </c>
    </row>
    <row r="3155" spans="1:4" ht="30">
      <c r="A3155" s="5" t="str">
        <f>HYPERLINK("https://www.oit.va.gov/Services/TRM/ToolPage.aspx?tid=14544^","Personal Home Page (PHP) Composer")</f>
        <v>Personal Home Page (PHP) Composer</v>
      </c>
      <c r="B3155" s="4" t="s">
        <v>5997</v>
      </c>
      <c r="C3155" s="8" t="s">
        <v>5</v>
      </c>
      <c r="D3155" s="11" t="s">
        <v>5998</v>
      </c>
    </row>
    <row r="3156" spans="1:4" ht="30">
      <c r="A3156" s="5" t="str">
        <f>HYPERLINK("https://www.oit.va.gov/Services/TRM/ToolPage.aspx?tid=15269^","Recover My Email")</f>
        <v>Recover My Email</v>
      </c>
      <c r="B3156" s="4" t="s">
        <v>8544</v>
      </c>
      <c r="C3156" s="8" t="s">
        <v>5</v>
      </c>
      <c r="D3156" s="11" t="s">
        <v>8545</v>
      </c>
    </row>
    <row r="3157" spans="1:4" ht="30">
      <c r="A3157" s="5" t="str">
        <f>HYPERLINK("https://www.oit.va.gov/Services/TRM/ToolPage.aspx?tid=14160^","Recover My Files")</f>
        <v>Recover My Files</v>
      </c>
      <c r="B3157" s="4" t="s">
        <v>8544</v>
      </c>
      <c r="C3157" s="8" t="s">
        <v>5</v>
      </c>
      <c r="D3157" s="11" t="s">
        <v>8546</v>
      </c>
    </row>
    <row r="3158" spans="1:4" ht="30">
      <c r="A3158" s="5" t="str">
        <f>HYPERLINK("https://www.oit.va.gov/Services/TRM/ToolPage.aspx?tid=10636^","T-DOC Cycle")</f>
        <v>T-DOC Cycle</v>
      </c>
      <c r="B3158" s="4" t="s">
        <v>4893</v>
      </c>
      <c r="C3158" s="8" t="s">
        <v>5</v>
      </c>
      <c r="D3158" s="11" t="s">
        <v>4894</v>
      </c>
    </row>
    <row r="3159" spans="1:4" ht="30">
      <c r="A3159" s="5" t="str">
        <f>HYPERLINK("https://www.oit.va.gov/Services/TRM/ToolPage.aspx?tid=8065^","GetWellNetwork")</f>
        <v>GetWellNetwork</v>
      </c>
      <c r="B3159" s="4" t="s">
        <v>1570</v>
      </c>
      <c r="C3159" s="8" t="s">
        <v>5</v>
      </c>
      <c r="D3159" s="11" t="s">
        <v>1571</v>
      </c>
    </row>
    <row r="3160" spans="1:4" ht="30">
      <c r="A3160" s="5" t="str">
        <f>HYPERLINK("https://www.oit.va.gov/Services/TRM/ToolPage.aspx?tid=7948^","Lavaan")</f>
        <v>Lavaan</v>
      </c>
      <c r="B3160" s="4" t="s">
        <v>6780</v>
      </c>
      <c r="C3160" s="8" t="s">
        <v>5</v>
      </c>
      <c r="D3160" s="11" t="s">
        <v>6781</v>
      </c>
    </row>
    <row r="3161" spans="1:4" ht="30">
      <c r="A3161" s="5" t="str">
        <f>HYPERLINK("https://www.oit.va.gov/Services/TRM/ToolPage.aspx?tid=11157^","Total Commander")</f>
        <v>Total Commander</v>
      </c>
      <c r="B3161" s="4" t="s">
        <v>3579</v>
      </c>
      <c r="C3161" s="8" t="s">
        <v>5</v>
      </c>
      <c r="D3161" s="11" t="s">
        <v>3580</v>
      </c>
    </row>
    <row r="3162" spans="1:4" ht="30">
      <c r="A3162" s="5" t="str">
        <f>HYPERLINK("https://www.oit.va.gov/Services/TRM/ToolPage.aspx?tid=7781^","Ghotit Real Writer and Reader")</f>
        <v>Ghotit Real Writer and Reader</v>
      </c>
      <c r="B3162" s="4" t="s">
        <v>1168</v>
      </c>
      <c r="C3162" s="8" t="s">
        <v>5</v>
      </c>
      <c r="D3162" s="11" t="s">
        <v>316</v>
      </c>
    </row>
    <row r="3163" spans="1:4" ht="30">
      <c r="A3163" s="5" t="str">
        <f>HYPERLINK("https://www.oit.va.gov/Services/TRM/ToolPage.aspx?tid=16451^","Gibson Ridge (GR) 2 Analyst Weather Radar Analytics")</f>
        <v>Gibson Ridge (GR) 2 Analyst Weather Radar Analytics</v>
      </c>
      <c r="B3163" s="4" t="s">
        <v>5825</v>
      </c>
      <c r="C3163" s="8" t="s">
        <v>5</v>
      </c>
      <c r="D3163" s="11" t="s">
        <v>5826</v>
      </c>
    </row>
    <row r="3164" spans="1:4" ht="30">
      <c r="A3164" s="5" t="str">
        <f>HYPERLINK("https://www.oit.va.gov/Services/TRM/ToolPage.aspx?tid=14301^","GigaVUE Fabric Manager (GigaVUE-FM)")</f>
        <v>GigaVUE Fabric Manager (GigaVUE-FM)</v>
      </c>
      <c r="B3164" s="4" t="s">
        <v>2626</v>
      </c>
      <c r="C3164" s="8" t="s">
        <v>5</v>
      </c>
      <c r="D3164" s="11" t="s">
        <v>143</v>
      </c>
    </row>
    <row r="3165" spans="1:4" ht="30">
      <c r="A3165" s="5" t="str">
        <f>HYPERLINK("https://www.oit.va.gov/Services/TRM/ToolPage.aspx?tid=8608^","Discovery Attender")</f>
        <v>Discovery Attender</v>
      </c>
      <c r="B3165" s="4" t="s">
        <v>4021</v>
      </c>
      <c r="C3165" s="8" t="s">
        <v>5</v>
      </c>
      <c r="D3165" s="11" t="s">
        <v>4022</v>
      </c>
    </row>
    <row r="3166" spans="1:4" ht="30">
      <c r="A3166" s="5" t="str">
        <f>HYPERLINK("https://www.oit.va.gov/Services/TRM/ToolPage.aspx?tid=10446^","Content Governance for SharePoint")</f>
        <v>Content Governance for SharePoint</v>
      </c>
      <c r="B3166" s="4" t="s">
        <v>4021</v>
      </c>
      <c r="C3166" s="8" t="s">
        <v>5</v>
      </c>
      <c r="D3166" s="11" t="s">
        <v>536</v>
      </c>
    </row>
    <row r="3167" spans="1:4" ht="30">
      <c r="A3167" s="5" t="str">
        <f>HYPERLINK("https://www.oit.va.gov/Services/TRM/ToolPage.aspx?tid=5982^","GNU Image Manipulation Program (GIMP)")</f>
        <v>GNU Image Manipulation Program (GIMP)</v>
      </c>
      <c r="B3167" s="4" t="s">
        <v>2629</v>
      </c>
      <c r="C3167" s="8" t="s">
        <v>5</v>
      </c>
      <c r="D3167" s="11" t="s">
        <v>2630</v>
      </c>
    </row>
    <row r="3168" spans="1:4" ht="30">
      <c r="A3168" s="5" t="str">
        <f>HYPERLINK("https://www.oit.va.gov/Services/TRM/ToolPage.aspx?tid=13006^","Ginger Software")</f>
        <v>Ginger Software</v>
      </c>
      <c r="B3168" s="4" t="s">
        <v>5213</v>
      </c>
      <c r="C3168" s="8" t="s">
        <v>5</v>
      </c>
      <c r="D3168" s="11" t="s">
        <v>5214</v>
      </c>
    </row>
    <row r="3169" spans="1:4" ht="30">
      <c r="A3169" s="5" t="str">
        <f>HYPERLINK("https://www.oit.va.gov/Services/TRM/ToolPage.aspx?tid=11521^","NoScript Firefox Extension")</f>
        <v>NoScript Firefox Extension</v>
      </c>
      <c r="B3169" s="4" t="s">
        <v>5384</v>
      </c>
      <c r="C3169" s="8" t="s">
        <v>5</v>
      </c>
      <c r="D3169" s="11" t="s">
        <v>5385</v>
      </c>
    </row>
    <row r="3170" spans="1:4" ht="30">
      <c r="A3170" s="5" t="str">
        <f>HYPERLINK("https://www.oit.va.gov/Services/TRM/ToolPage.aspx?tid=14189^","Git Extensions")</f>
        <v>Git Extensions</v>
      </c>
      <c r="B3170" s="4" t="s">
        <v>7981</v>
      </c>
      <c r="C3170" s="8" t="s">
        <v>5</v>
      </c>
      <c r="D3170" s="11" t="s">
        <v>3437</v>
      </c>
    </row>
    <row r="3171" spans="1:4" ht="30">
      <c r="A3171" s="5" t="str">
        <f>HYPERLINK("https://www.oit.va.gov/Services/TRM/ToolPage.aspx?tid=16615^","Pyannote.audio")</f>
        <v>Pyannote.audio</v>
      </c>
      <c r="B3171" s="4" t="s">
        <v>1872</v>
      </c>
      <c r="C3171" s="8" t="s">
        <v>5</v>
      </c>
      <c r="D3171" s="11" t="s">
        <v>1873</v>
      </c>
    </row>
    <row r="3172" spans="1:4" ht="30">
      <c r="A3172" s="5" t="str">
        <f>HYPERLINK("https://www.oit.va.gov/Services/TRM/ToolPage.aspx?tid=9533^","Github Enterprise")</f>
        <v>Github Enterprise</v>
      </c>
      <c r="B3172" s="4" t="s">
        <v>1872</v>
      </c>
      <c r="C3172" s="8" t="s">
        <v>5</v>
      </c>
      <c r="D3172" s="11" t="s">
        <v>2627</v>
      </c>
    </row>
    <row r="3173" spans="1:4" ht="30">
      <c r="A3173" s="5" t="str">
        <f>HYPERLINK("https://www.oit.va.gov/Services/TRM/ToolPage.aspx?tid=16723^","Puppeteer IDE")</f>
        <v>Puppeteer IDE</v>
      </c>
      <c r="B3173" s="4" t="s">
        <v>1872</v>
      </c>
      <c r="C3173" s="8" t="s">
        <v>5</v>
      </c>
      <c r="D3173" s="11" t="s">
        <v>1476</v>
      </c>
    </row>
    <row r="3174" spans="1:4" ht="30">
      <c r="A3174" s="5" t="str">
        <f>HYPERLINK("https://www.oit.va.gov/Services/TRM/ToolPage.aspx?tid=8312^","Ditto Clipboard Manager")</f>
        <v>Ditto Clipboard Manager</v>
      </c>
      <c r="B3174" s="4" t="s">
        <v>1872</v>
      </c>
      <c r="C3174" s="8" t="s">
        <v>5</v>
      </c>
      <c r="D3174" s="11" t="s">
        <v>5150</v>
      </c>
    </row>
    <row r="3175" spans="1:4" ht="30">
      <c r="A3175" s="5" t="str">
        <f>HYPERLINK("https://www.oit.va.gov/Services/TRM/ToolPage.aspx?tid=15501^","Alias Test Automation Accelerator Framework")</f>
        <v>Alias Test Automation Accelerator Framework</v>
      </c>
      <c r="B3175" s="4" t="s">
        <v>1872</v>
      </c>
      <c r="C3175" s="8" t="s">
        <v>5</v>
      </c>
      <c r="D3175" s="11" t="s">
        <v>6257</v>
      </c>
    </row>
    <row r="3176" spans="1:4" ht="30">
      <c r="A3176" s="5" t="str">
        <f>HYPERLINK("https://www.oit.va.gov/Services/TRM/ToolPage.aspx?tid=16629^","CustomTkinter")</f>
        <v>CustomTkinter</v>
      </c>
      <c r="B3176" s="4" t="s">
        <v>1872</v>
      </c>
      <c r="C3176" s="8" t="s">
        <v>5</v>
      </c>
      <c r="D3176" s="11" t="s">
        <v>6474</v>
      </c>
    </row>
    <row r="3177" spans="1:4" ht="30">
      <c r="A3177" s="5" t="str">
        <f>HYPERLINK("https://www.oit.va.gov/Services/TRM/ToolPage.aspx?tid=14568^","Expat Extensible Markup Language (XML) Parser")</f>
        <v>Expat Extensible Markup Language (XML) Parser</v>
      </c>
      <c r="B3177" s="4" t="s">
        <v>1872</v>
      </c>
      <c r="C3177" s="8" t="s">
        <v>5</v>
      </c>
      <c r="D3177" s="11" t="s">
        <v>1903</v>
      </c>
    </row>
    <row r="3178" spans="1:4" ht="30">
      <c r="A3178" s="5" t="str">
        <f>HYPERLINK("https://www.oit.va.gov/Services/TRM/ToolPage.aspx?tid=15449^","GitHub Actions Runner")</f>
        <v>GitHub Actions Runner</v>
      </c>
      <c r="B3178" s="4" t="s">
        <v>1872</v>
      </c>
      <c r="C3178" s="8" t="s">
        <v>5</v>
      </c>
      <c r="D3178" s="11" t="s">
        <v>650</v>
      </c>
    </row>
    <row r="3179" spans="1:4" ht="30">
      <c r="A3179" s="5" t="str">
        <f>HYPERLINK("https://www.oit.va.gov/Services/TRM/ToolPage.aspx?tid=16191^","GitHub Command Line Interface (CLI)")</f>
        <v>GitHub Command Line Interface (CLI)</v>
      </c>
      <c r="B3179" s="4" t="s">
        <v>1872</v>
      </c>
      <c r="C3179" s="8" t="s">
        <v>5</v>
      </c>
      <c r="D3179" s="11" t="s">
        <v>3981</v>
      </c>
    </row>
    <row r="3180" spans="1:4" ht="30">
      <c r="A3180" s="5" t="str">
        <f>HYPERLINK("https://www.oit.va.gov/Services/TRM/ToolPage.aspx?tid=9452^","GitHub Desktop (Classic)")</f>
        <v>GitHub Desktop (Classic)</v>
      </c>
      <c r="B3180" s="4" t="s">
        <v>1872</v>
      </c>
      <c r="C3180" s="8" t="s">
        <v>5</v>
      </c>
      <c r="D3180" s="11" t="s">
        <v>6651</v>
      </c>
    </row>
    <row r="3181" spans="1:4" ht="30">
      <c r="A3181" s="5" t="str">
        <f>HYPERLINK("https://www.oit.va.gov/Services/TRM/ToolPage.aspx?tid=16621^","K8sgpt")</f>
        <v>K8sgpt</v>
      </c>
      <c r="B3181" s="4" t="s">
        <v>1872</v>
      </c>
      <c r="C3181" s="8" t="s">
        <v>5</v>
      </c>
      <c r="D3181" s="11" t="s">
        <v>6758</v>
      </c>
    </row>
    <row r="3182" spans="1:4" ht="30">
      <c r="A3182" s="5" t="str">
        <f>HYPERLINK("https://www.oit.va.gov/Services/TRM/ToolPage.aspx?tid=16618^","K8sgpt Operator")</f>
        <v>K8sgpt Operator</v>
      </c>
      <c r="B3182" s="4" t="s">
        <v>1872</v>
      </c>
      <c r="C3182" s="8" t="s">
        <v>5</v>
      </c>
      <c r="D3182" s="11" t="s">
        <v>2002</v>
      </c>
    </row>
    <row r="3183" spans="1:4" ht="30">
      <c r="A3183" s="5" t="str">
        <f>HYPERLINK("https://www.oit.va.gov/Services/TRM/ToolPage.aspx?tid=16152^","pbi-tools")</f>
        <v>pbi-tools</v>
      </c>
      <c r="B3183" s="4" t="s">
        <v>1872</v>
      </c>
      <c r="C3183" s="8" t="s">
        <v>5</v>
      </c>
      <c r="D3183" s="11" t="s">
        <v>6994</v>
      </c>
    </row>
    <row r="3184" spans="1:4" ht="30">
      <c r="A3184" s="5" t="str">
        <f>HYPERLINK("https://www.oit.va.gov/Services/TRM/ToolPage.aspx?tid=16626^","qdrant")</f>
        <v>qdrant</v>
      </c>
      <c r="B3184" s="4" t="s">
        <v>1872</v>
      </c>
      <c r="C3184" s="8" t="s">
        <v>5</v>
      </c>
      <c r="D3184" s="11" t="s">
        <v>7048</v>
      </c>
    </row>
    <row r="3185" spans="1:4" ht="30">
      <c r="A3185" s="5" t="str">
        <f>HYPERLINK("https://www.oit.va.gov/Services/TRM/ToolPage.aspx?tid=16627^","qdrant client")</f>
        <v>qdrant client</v>
      </c>
      <c r="B3185" s="4" t="s">
        <v>1872</v>
      </c>
      <c r="C3185" s="8" t="s">
        <v>5</v>
      </c>
      <c r="D3185" s="11" t="s">
        <v>7049</v>
      </c>
    </row>
    <row r="3186" spans="1:4" ht="30">
      <c r="A3186" s="5" t="str">
        <f>HYPERLINK("https://www.oit.va.gov/Services/TRM/ToolPage.aspx?tid=11060^","Configuration Transform")</f>
        <v>Configuration Transform</v>
      </c>
      <c r="B3186" s="4" t="s">
        <v>1872</v>
      </c>
      <c r="C3186" s="8" t="s">
        <v>5</v>
      </c>
      <c r="D3186" s="11" t="s">
        <v>7692</v>
      </c>
    </row>
    <row r="3187" spans="1:4" ht="30">
      <c r="A3187" s="5" t="str">
        <f>HYPERLINK("https://www.oit.va.gov/Services/TRM/ToolPage.aspx?tid=13176^","GitHub Desktop")</f>
        <v>GitHub Desktop</v>
      </c>
      <c r="B3187" s="4" t="s">
        <v>1872</v>
      </c>
      <c r="C3187" s="8" t="s">
        <v>5</v>
      </c>
      <c r="D3187" s="11" t="s">
        <v>7983</v>
      </c>
    </row>
    <row r="3188" spans="1:4" ht="30">
      <c r="A3188" s="5" t="str">
        <f>HYPERLINK("https://www.oit.va.gov/Services/TRM/ToolPage.aspx?tid=10417^","Tesseract Optical Character Recognition (OCR)")</f>
        <v>Tesseract Optical Character Recognition (OCR)</v>
      </c>
      <c r="B3188" s="4" t="s">
        <v>1872</v>
      </c>
      <c r="C3188" s="8" t="s">
        <v>5</v>
      </c>
      <c r="D3188" s="11" t="s">
        <v>953</v>
      </c>
    </row>
    <row r="3189" spans="1:4" ht="30">
      <c r="A3189" s="5" t="str">
        <f>HYPERLINK("https://www.oit.va.gov/Services/TRM/ToolPage.aspx?tid=15987^","PSDiscoveryProtocol")</f>
        <v>PSDiscoveryProtocol</v>
      </c>
      <c r="B3189" s="4" t="s">
        <v>8493</v>
      </c>
      <c r="C3189" s="8" t="s">
        <v>5</v>
      </c>
      <c r="D3189" s="11" t="s">
        <v>1982</v>
      </c>
    </row>
    <row r="3190" spans="1:4" ht="30">
      <c r="A3190" s="5" t="str">
        <f>HYPERLINK("https://www.oit.va.gov/Services/TRM/ToolPage.aspx?tid=9463^","GitLab Enterprise Edition (EE)")</f>
        <v>GitLab Enterprise Edition (EE)</v>
      </c>
      <c r="B3190" s="4" t="s">
        <v>1005</v>
      </c>
      <c r="C3190" s="8" t="s">
        <v>5</v>
      </c>
      <c r="D3190" s="11" t="s">
        <v>1006</v>
      </c>
    </row>
    <row r="3191" spans="1:4" ht="30">
      <c r="A3191" s="5" t="str">
        <f>HYPERLINK("https://www.oit.va.gov/Services/TRM/ToolPage.aspx?tid=9580^","GitLab Community Edition (CE)")</f>
        <v>GitLab Community Edition (CE)</v>
      </c>
      <c r="B3191" s="4" t="s">
        <v>1005</v>
      </c>
      <c r="C3191" s="8" t="s">
        <v>5</v>
      </c>
      <c r="D3191" s="11" t="s">
        <v>3314</v>
      </c>
    </row>
    <row r="3192" spans="1:4" ht="30">
      <c r="A3192" s="5" t="str">
        <f>HYPERLINK("https://www.oit.va.gov/Services/TRM/ToolPage.aspx?tid=15740^","Git-Team Foundation Server (TFS)")</f>
        <v>Git-Team Foundation Server (TFS)</v>
      </c>
      <c r="B3192" s="4" t="s">
        <v>6652</v>
      </c>
      <c r="C3192" s="8" t="s">
        <v>5</v>
      </c>
      <c r="D3192" s="11" t="s">
        <v>5850</v>
      </c>
    </row>
    <row r="3193" spans="1:4" ht="30">
      <c r="A3193" s="5" t="str">
        <f>HYPERLINK("https://www.oit.va.gov/Services/TRM/ToolPage.aspx?tid=13431^","Glarysoft")</f>
        <v>Glarysoft</v>
      </c>
      <c r="B3193" s="4" t="s">
        <v>7984</v>
      </c>
      <c r="C3193" s="8" t="s">
        <v>5</v>
      </c>
      <c r="D3193" s="11" t="s">
        <v>7985</v>
      </c>
    </row>
    <row r="3194" spans="1:4" ht="30">
      <c r="A3194" s="5" t="str">
        <f>HYPERLINK("https://www.oit.va.gov/Services/TRM/ToolPage.aspx?tid=15108^","Glassbeam Clinsights")</f>
        <v>Glassbeam Clinsights</v>
      </c>
      <c r="B3194" s="4" t="s">
        <v>216</v>
      </c>
      <c r="C3194" s="8" t="s">
        <v>5</v>
      </c>
      <c r="D3194" s="11" t="s">
        <v>217</v>
      </c>
    </row>
    <row r="3195" spans="1:4" ht="30">
      <c r="A3195" s="5" t="str">
        <f>HYPERLINK("https://www.oit.va.gov/Services/TRM/ToolPage.aspx?tid=6159^","TightVNC")</f>
        <v>TightVNC</v>
      </c>
      <c r="B3195" s="4" t="s">
        <v>8807</v>
      </c>
      <c r="C3195" s="8" t="s">
        <v>5</v>
      </c>
      <c r="D3195" s="11" t="s">
        <v>8797</v>
      </c>
    </row>
    <row r="3196" spans="1:4" ht="30">
      <c r="A3196" s="5" t="str">
        <f>HYPERLINK("https://www.oit.va.gov/Services/TRM/ToolPage.aspx?tid=13091^","Logspout")</f>
        <v>Logspout</v>
      </c>
      <c r="B3196" s="4" t="s">
        <v>6799</v>
      </c>
      <c r="C3196" s="8" t="s">
        <v>5</v>
      </c>
      <c r="D3196" s="11" t="s">
        <v>6800</v>
      </c>
    </row>
    <row r="3197" spans="1:4" ht="30">
      <c r="A3197" s="5" t="str">
        <f>HYPERLINK("https://www.oit.va.gov/Services/TRM/ToolPage.aspx?tid=9448^","CapSure Veterans Health Information Systems and Technology Architecture (VistA)")</f>
        <v>CapSure Veterans Health Information Systems and Technology Architecture (VistA)</v>
      </c>
      <c r="B3197" s="4" t="s">
        <v>609</v>
      </c>
      <c r="C3197" s="8" t="s">
        <v>5</v>
      </c>
      <c r="D3197" s="11" t="s">
        <v>610</v>
      </c>
    </row>
    <row r="3198" spans="1:4" ht="30">
      <c r="A3198" s="5" t="str">
        <f>HYPERLINK("https://www.oit.va.gov/Services/TRM/ToolPage.aspx?tid=13139^","eNcounter")</f>
        <v>eNcounter</v>
      </c>
      <c r="B3198" s="4" t="s">
        <v>609</v>
      </c>
      <c r="C3198" s="8" t="s">
        <v>5</v>
      </c>
      <c r="D3198" s="11" t="s">
        <v>1528</v>
      </c>
    </row>
    <row r="3199" spans="1:4" ht="30">
      <c r="A3199" s="5" t="str">
        <f>HYPERLINK("https://www.oit.va.gov/Services/TRM/ToolPage.aspx?tid=8585^","GlobalMed ClearSteth")</f>
        <v>GlobalMed ClearSteth</v>
      </c>
      <c r="B3199" s="4" t="s">
        <v>609</v>
      </c>
      <c r="C3199" s="8" t="s">
        <v>5</v>
      </c>
      <c r="D3199" s="11" t="s">
        <v>183</v>
      </c>
    </row>
    <row r="3200" spans="1:4" ht="30">
      <c r="A3200" s="5" t="str">
        <f>HYPERLINK("https://www.oit.va.gov/Services/TRM/ToolPage.aspx?tid=9700^","SeeMore")</f>
        <v>SeeMore</v>
      </c>
      <c r="B3200" s="4" t="s">
        <v>609</v>
      </c>
      <c r="C3200" s="8" t="s">
        <v>5</v>
      </c>
      <c r="D3200" s="11" t="s">
        <v>4775</v>
      </c>
    </row>
    <row r="3201" spans="1:4" ht="30">
      <c r="A3201" s="5" t="str">
        <f>HYPERLINK("https://www.oit.va.gov/Services/TRM/ToolPage.aspx?tid=7818^","StethOne Streaming Stethoscope Over Internet Protocol (IP)")</f>
        <v>StethOne Streaming Stethoscope Over Internet Protocol (IP)</v>
      </c>
      <c r="B3201" s="4" t="s">
        <v>609</v>
      </c>
      <c r="C3201" s="8" t="s">
        <v>5</v>
      </c>
      <c r="D3201" s="11" t="s">
        <v>5527</v>
      </c>
    </row>
    <row r="3202" spans="1:4" ht="30">
      <c r="A3202" s="5" t="str">
        <f>HYPERLINK("https://www.oit.va.gov/Services/TRM/ToolPage.aspx?tid=9576^","SmartWorks Multifunction Printer (MFP)")</f>
        <v>SmartWorks Multifunction Printer (MFP)</v>
      </c>
      <c r="B3202" s="4" t="s">
        <v>1936</v>
      </c>
      <c r="C3202" s="8" t="s">
        <v>5</v>
      </c>
      <c r="D3202" s="11" t="s">
        <v>1937</v>
      </c>
    </row>
    <row r="3203" spans="1:4" ht="30">
      <c r="A3203" s="5" t="str">
        <f>HYPERLINK("https://www.oit.va.gov/Services/TRM/ToolPage.aspx?tid=11762^","Global Telehealth Services (GTS) VirtualHealth")</f>
        <v>Global Telehealth Services (GTS) VirtualHealth</v>
      </c>
      <c r="B3203" s="4" t="s">
        <v>5829</v>
      </c>
      <c r="C3203" s="8" t="s">
        <v>5</v>
      </c>
      <c r="D3203" s="11" t="s">
        <v>5830</v>
      </c>
    </row>
    <row r="3204" spans="1:4" ht="30">
      <c r="A3204" s="5" t="str">
        <f>HYPERLINK("https://www.oit.va.gov/Services/TRM/ToolPage.aspx?tid=7303^","AB Tutor")</f>
        <v>AB Tutor</v>
      </c>
      <c r="B3204" s="4" t="s">
        <v>363</v>
      </c>
      <c r="C3204" s="8" t="s">
        <v>5</v>
      </c>
      <c r="D3204" s="11" t="s">
        <v>364</v>
      </c>
    </row>
    <row r="3205" spans="1:4" ht="30">
      <c r="A3205" s="5" t="str">
        <f>HYPERLINK("https://www.oit.va.gov/Services/TRM/ToolPage.aspx?tid=10464^","Globus Toolkit")</f>
        <v>Globus Toolkit</v>
      </c>
      <c r="B3205" s="4" t="s">
        <v>3315</v>
      </c>
      <c r="C3205" s="8" t="s">
        <v>5</v>
      </c>
      <c r="D3205" s="11" t="s">
        <v>3316</v>
      </c>
    </row>
    <row r="3206" spans="1:4" ht="30">
      <c r="A3206" s="5" t="str">
        <f>HYPERLINK("https://www.oit.va.gov/Services/TRM/ToolPage.aspx?tid=8339^","Diasend Uploader")</f>
        <v>Diasend Uploader</v>
      </c>
      <c r="B3206" s="4" t="s">
        <v>6505</v>
      </c>
      <c r="C3206" s="8" t="s">
        <v>5</v>
      </c>
      <c r="D3206" s="11" t="s">
        <v>6506</v>
      </c>
    </row>
    <row r="3207" spans="1:4" ht="30">
      <c r="A3207" s="5" t="str">
        <f>HYPERLINK("https://www.oit.va.gov/Services/TRM/ToolPage.aspx?tid=9990^","Xpdf Viewer")</f>
        <v>Xpdf Viewer</v>
      </c>
      <c r="B3207" s="4" t="s">
        <v>7349</v>
      </c>
      <c r="C3207" s="8" t="s">
        <v>5</v>
      </c>
      <c r="D3207" s="11" t="s">
        <v>7350</v>
      </c>
    </row>
    <row r="3208" spans="1:4" ht="30">
      <c r="A3208" s="5" t="str">
        <f>HYPERLINK("https://www.oit.va.gov/Services/TRM/ToolPage.aspx?tid=6667^","gGastro")</f>
        <v>gGastro</v>
      </c>
      <c r="B3208" s="4" t="s">
        <v>7979</v>
      </c>
      <c r="C3208" s="8" t="s">
        <v>5</v>
      </c>
      <c r="D3208" s="11" t="s">
        <v>7980</v>
      </c>
    </row>
    <row r="3209" spans="1:4" ht="30">
      <c r="A3209" s="5" t="str">
        <f>HYPERLINK("https://www.oit.va.gov/Services/TRM/ToolPage.aspx?tid=14261^","GMetrix Short Message Service (SMS) for Windows")</f>
        <v>GMetrix Short Message Service (SMS) for Windows</v>
      </c>
      <c r="B3209" s="4" t="s">
        <v>7987</v>
      </c>
      <c r="C3209" s="8" t="s">
        <v>5</v>
      </c>
      <c r="D3209" s="11" t="s">
        <v>69</v>
      </c>
    </row>
    <row r="3210" spans="1:4" ht="30">
      <c r="A3210" s="5" t="str">
        <f>HYPERLINK("https://www.oit.va.gov/Services/TRM/ToolPage.aspx?tid=7925^","Otosuite")</f>
        <v>Otosuite</v>
      </c>
      <c r="B3210" s="4" t="s">
        <v>2835</v>
      </c>
      <c r="C3210" s="8" t="s">
        <v>5</v>
      </c>
      <c r="D3210" s="11" t="s">
        <v>755</v>
      </c>
    </row>
    <row r="3211" spans="1:4" ht="30">
      <c r="A3211" s="5" t="str">
        <f>HYPERLINK("https://www.oit.va.gov/Services/TRM/ToolPage.aspx?tid=5576^","Smart Fit")</f>
        <v>Smart Fit</v>
      </c>
      <c r="B3211" s="4" t="s">
        <v>4805</v>
      </c>
      <c r="C3211" s="8" t="s">
        <v>5</v>
      </c>
      <c r="D3211" s="11" t="s">
        <v>1956</v>
      </c>
    </row>
    <row r="3212" spans="1:4" ht="30">
      <c r="A3212" s="5" t="str">
        <f>HYPERLINK("https://www.oit.va.gov/Services/TRM/ToolPage.aspx?tid=12911^","GTK+")</f>
        <v>GTK+</v>
      </c>
      <c r="B3212" s="4" t="s">
        <v>1583</v>
      </c>
      <c r="C3212" s="8" t="s">
        <v>5</v>
      </c>
      <c r="D3212" s="11" t="s">
        <v>1584</v>
      </c>
    </row>
    <row r="3213" spans="1:4" ht="30">
      <c r="A3213" s="5" t="str">
        <f>HYPERLINK("https://www.oit.va.gov/Services/TRM/ToolPage.aspx?tid=14330^","GNOME Display Manager (GDM)")</f>
        <v>GNOME Display Manager (GDM)</v>
      </c>
      <c r="B3213" s="4" t="s">
        <v>1583</v>
      </c>
      <c r="C3213" s="8" t="s">
        <v>5</v>
      </c>
      <c r="D3213" s="11" t="s">
        <v>5218</v>
      </c>
    </row>
    <row r="3214" spans="1:4" ht="30">
      <c r="A3214" s="5" t="str">
        <f>HYPERLINK("https://www.oit.va.gov/Services/TRM/ToolPage.aspx?tid=13250^","Pango")</f>
        <v>Pango</v>
      </c>
      <c r="B3214" s="4" t="s">
        <v>1583</v>
      </c>
      <c r="C3214" s="8" t="s">
        <v>5</v>
      </c>
      <c r="D3214" s="11" t="s">
        <v>6991</v>
      </c>
    </row>
    <row r="3215" spans="1:4" ht="30">
      <c r="A3215" s="5" t="str">
        <f>HYPERLINK("https://www.oit.va.gov/Services/TRM/ToolPage.aspx?tid=14386^","Evince")</f>
        <v>Evince</v>
      </c>
      <c r="B3215" s="4" t="s">
        <v>1583</v>
      </c>
      <c r="C3215" s="8" t="s">
        <v>5</v>
      </c>
      <c r="D3215" s="11" t="s">
        <v>7885</v>
      </c>
    </row>
    <row r="3216" spans="1:4" ht="30">
      <c r="A3216" s="5" t="str">
        <f>HYPERLINK("https://www.oit.va.gov/Services/TRM/ToolPage.aspx?tid=14329^","Eye of GNOME (EOG)")</f>
        <v>Eye of GNOME (EOG)</v>
      </c>
      <c r="B3216" s="4" t="s">
        <v>1583</v>
      </c>
      <c r="C3216" s="8" t="s">
        <v>5</v>
      </c>
      <c r="D3216" s="11" t="s">
        <v>7906</v>
      </c>
    </row>
    <row r="3217" spans="1:4" ht="30">
      <c r="A3217" s="5" t="str">
        <f>HYPERLINK("https://www.oit.va.gov/Services/TRM/ToolPage.aspx?tid=10566^","PSPP")</f>
        <v>PSPP</v>
      </c>
      <c r="B3217" s="4" t="s">
        <v>2887</v>
      </c>
      <c r="C3217" s="8" t="s">
        <v>5</v>
      </c>
      <c r="D3217" s="11" t="s">
        <v>2888</v>
      </c>
    </row>
    <row r="3218" spans="1:4" ht="30">
      <c r="A3218" s="5" t="str">
        <f>HYPERLINK("https://www.oit.va.gov/Services/TRM/ToolPage.aspx?tid=15973^","GNU Emacs")</f>
        <v>GNU Emacs</v>
      </c>
      <c r="B3218" s="4" t="s">
        <v>2887</v>
      </c>
      <c r="C3218" s="8" t="s">
        <v>5</v>
      </c>
      <c r="D3218" s="11" t="s">
        <v>201</v>
      </c>
    </row>
    <row r="3219" spans="1:4" ht="30">
      <c r="A3219" s="5" t="str">
        <f>HYPERLINK("https://www.oit.va.gov/Services/TRM/ToolPage.aspx?tid=11813^","GNU Make")</f>
        <v>GNU Make</v>
      </c>
      <c r="B3219" s="4" t="s">
        <v>2887</v>
      </c>
      <c r="C3219" s="8" t="s">
        <v>5</v>
      </c>
      <c r="D3219" s="11" t="s">
        <v>4187</v>
      </c>
    </row>
    <row r="3220" spans="1:4" ht="30">
      <c r="A3220" s="5" t="str">
        <f>HYPERLINK("https://www.oit.va.gov/Services/TRM/ToolPage.aspx?tid=12828^","GNU Wget")</f>
        <v>GNU Wget</v>
      </c>
      <c r="B3220" s="4" t="s">
        <v>2887</v>
      </c>
      <c r="C3220" s="8" t="s">
        <v>5</v>
      </c>
      <c r="D3220" s="11" t="s">
        <v>4188</v>
      </c>
    </row>
    <row r="3221" spans="1:4" ht="30">
      <c r="A3221" s="5" t="str">
        <f>HYPERLINK("https://www.oit.va.gov/Services/TRM/ToolPage.aspx?tid=14600^","Gtk#")</f>
        <v>Gtk#</v>
      </c>
      <c r="B3221" s="4" t="s">
        <v>2887</v>
      </c>
      <c r="C3221" s="8" t="s">
        <v>5</v>
      </c>
      <c r="D3221" s="11" t="s">
        <v>5222</v>
      </c>
    </row>
    <row r="3222" spans="1:4" ht="30">
      <c r="A3222" s="5" t="str">
        <f>HYPERLINK("https://www.oit.va.gov/Services/TRM/ToolPage.aspx?tid=14488^","Grep for Windows")</f>
        <v>Grep for Windows</v>
      </c>
      <c r="B3222" s="4" t="s">
        <v>2887</v>
      </c>
      <c r="C3222" s="8" t="s">
        <v>5</v>
      </c>
      <c r="D3222" s="11" t="s">
        <v>5839</v>
      </c>
    </row>
    <row r="3223" spans="1:4" ht="30">
      <c r="A3223" s="5" t="str">
        <f>HYPERLINK("https://www.oit.va.gov/Services/TRM/ToolPage.aspx?tid=11727^","Bourne Again SHell (Bash)")</f>
        <v>Bourne Again SHell (Bash)</v>
      </c>
      <c r="B3223" s="4" t="s">
        <v>2887</v>
      </c>
      <c r="C3223" s="8" t="s">
        <v>5</v>
      </c>
      <c r="D3223" s="11" t="s">
        <v>4558</v>
      </c>
    </row>
    <row r="3224" spans="1:4" ht="30">
      <c r="A3224" s="5" t="str">
        <f>HYPERLINK("https://www.oit.va.gov/Services/TRM/ToolPage.aspx?tid=13221^","Cpio")</f>
        <v>Cpio</v>
      </c>
      <c r="B3224" s="4" t="s">
        <v>2887</v>
      </c>
      <c r="C3224" s="8" t="s">
        <v>5</v>
      </c>
      <c r="D3224" s="11" t="s">
        <v>6467</v>
      </c>
    </row>
    <row r="3225" spans="1:4" ht="30">
      <c r="A3225" s="5" t="str">
        <f>HYPERLINK("https://www.oit.va.gov/Services/TRM/ToolPage.aspx?tid=16253^","GNU Grand Unified Bootloader (GRUB)")</f>
        <v>GNU Grand Unified Bootloader (GRUB)</v>
      </c>
      <c r="B3225" s="4" t="s">
        <v>2887</v>
      </c>
      <c r="C3225" s="8" t="s">
        <v>5</v>
      </c>
      <c r="D3225" s="11" t="s">
        <v>1691</v>
      </c>
    </row>
    <row r="3226" spans="1:4" ht="30">
      <c r="A3226" s="5" t="str">
        <f>HYPERLINK("https://www.oit.va.gov/Services/TRM/ToolPage.aspx?tid=15587^","GNU IceCat")</f>
        <v>GNU IceCat</v>
      </c>
      <c r="B3226" s="4" t="s">
        <v>2887</v>
      </c>
      <c r="C3226" s="8" t="s">
        <v>5</v>
      </c>
      <c r="D3226" s="11" t="s">
        <v>7988</v>
      </c>
    </row>
    <row r="3227" spans="1:4" ht="30">
      <c r="A3227" s="5" t="str">
        <f>HYPERLINK("https://www.oit.va.gov/Services/TRM/ToolPage.aspx?tid=13174^","GNU MultiPrecision Library (GMP)")</f>
        <v>GNU MultiPrecision Library (GMP)</v>
      </c>
      <c r="B3227" s="4" t="s">
        <v>2887</v>
      </c>
      <c r="C3227" s="8" t="s">
        <v>5</v>
      </c>
      <c r="D3227" s="11" t="s">
        <v>7764</v>
      </c>
    </row>
    <row r="3228" spans="1:4" ht="30">
      <c r="A3228" s="5" t="str">
        <f>HYPERLINK("https://www.oit.va.gov/Services/TRM/ToolPage.aspx?tid=12935^","GNU nano")</f>
        <v>GNU nano</v>
      </c>
      <c r="B3228" s="4" t="s">
        <v>2887</v>
      </c>
      <c r="C3228" s="8" t="s">
        <v>5</v>
      </c>
      <c r="D3228" s="11" t="s">
        <v>3207</v>
      </c>
    </row>
    <row r="3229" spans="1:4" ht="30">
      <c r="A3229" s="5" t="str">
        <f>HYPERLINK("https://www.oit.va.gov/Services/TRM/ToolPage.aspx?tid=13302^","GNU Troff (Groff)")</f>
        <v>GNU Troff (Groff)</v>
      </c>
      <c r="B3229" s="4" t="s">
        <v>2887</v>
      </c>
      <c r="C3229" s="8" t="s">
        <v>5</v>
      </c>
      <c r="D3229" s="11" t="s">
        <v>1145</v>
      </c>
    </row>
    <row r="3230" spans="1:4" ht="30">
      <c r="A3230" s="5" t="str">
        <f>HYPERLINK("https://www.oit.va.gov/Services/TRM/ToolPage.aspx?tid=14878^","GNU&amp;#39;s Not Unix (GNU) Aspell")</f>
        <v>GNU&amp;#39;s Not Unix (GNU) Aspell</v>
      </c>
      <c r="B3230" s="4" t="s">
        <v>2887</v>
      </c>
      <c r="C3230" s="8" t="s">
        <v>5</v>
      </c>
      <c r="D3230" s="11" t="s">
        <v>7739</v>
      </c>
    </row>
    <row r="3231" spans="1:4" ht="30">
      <c r="A3231" s="5" t="str">
        <f>HYPERLINK("https://www.oit.va.gov/Services/TRM/ToolPage.aspx?tid=14395^","Ncurses")</f>
        <v>Ncurses</v>
      </c>
      <c r="B3231" s="4" t="s">
        <v>2887</v>
      </c>
      <c r="C3231" s="8" t="s">
        <v>5</v>
      </c>
      <c r="D3231" s="11" t="s">
        <v>8306</v>
      </c>
    </row>
    <row r="3232" spans="1:4" ht="30">
      <c r="A3232" s="5" t="str">
        <f>HYPERLINK("https://www.oit.va.gov/Services/TRM/ToolPage.aspx?tid=12910^","Quagga")</f>
        <v>Quagga</v>
      </c>
      <c r="B3232" s="4" t="s">
        <v>2887</v>
      </c>
      <c r="C3232" s="8" t="s">
        <v>5</v>
      </c>
      <c r="D3232" s="11" t="s">
        <v>5449</v>
      </c>
    </row>
    <row r="3233" spans="1:4" ht="30">
      <c r="A3233" s="5" t="str">
        <f>HYPERLINK("https://www.oit.va.gov/Services/TRM/ToolPage.aspx?tid=7140^","GNU Privacy Guard (GnuPG)")</f>
        <v>GNU Privacy Guard (GnuPG)</v>
      </c>
      <c r="B3233" s="4" t="s">
        <v>1009</v>
      </c>
      <c r="C3233" s="8" t="s">
        <v>5</v>
      </c>
      <c r="D3233" s="11" t="s">
        <v>1010</v>
      </c>
    </row>
    <row r="3234" spans="1:4" ht="30">
      <c r="A3234" s="5" t="str">
        <f>HYPERLINK("https://www.oit.va.gov/Services/TRM/ToolPage.aspx?tid=13252^","Libgcrypt")</f>
        <v>Libgcrypt</v>
      </c>
      <c r="B3234" s="4" t="s">
        <v>1009</v>
      </c>
      <c r="C3234" s="8" t="s">
        <v>5</v>
      </c>
      <c r="D3234" s="11" t="s">
        <v>3360</v>
      </c>
    </row>
    <row r="3235" spans="1:4" ht="30">
      <c r="A3235" s="5" t="str">
        <f>HYPERLINK("https://www.oit.va.gov/Services/TRM/ToolPage.aspx?tid=6636^","gnuplot")</f>
        <v>gnuplot</v>
      </c>
      <c r="B3235" s="4" t="s">
        <v>6657</v>
      </c>
      <c r="C3235" s="8" t="s">
        <v>5</v>
      </c>
      <c r="D3235" s="11" t="s">
        <v>6658</v>
      </c>
    </row>
    <row r="3236" spans="1:4" ht="30">
      <c r="A3236" s="5" t="str">
        <f>HYPERLINK("https://www.oit.va.gov/Services/TRM/ToolPage.aspx?tid=14994^","GoAnywhere Managed File Transfer (MFT)")</f>
        <v>GoAnywhere Managed File Transfer (MFT)</v>
      </c>
      <c r="B3236" s="4" t="s">
        <v>6660</v>
      </c>
      <c r="C3236" s="8" t="s">
        <v>5</v>
      </c>
      <c r="D3236" s="11" t="s">
        <v>4724</v>
      </c>
    </row>
    <row r="3237" spans="1:4" ht="30">
      <c r="A3237" s="5" t="str">
        <f>HYPERLINK("https://www.oit.va.gov/Services/TRM/ToolPage.aspx?tid=14187^","Quik")</f>
        <v>Quik</v>
      </c>
      <c r="B3237" s="4" t="s">
        <v>5464</v>
      </c>
      <c r="C3237" s="8" t="s">
        <v>5</v>
      </c>
      <c r="D3237" s="11" t="s">
        <v>5465</v>
      </c>
    </row>
    <row r="3238" spans="1:4" ht="30">
      <c r="A3238" s="5" t="str">
        <f>HYPERLINK("https://www.oit.va.gov/Services/TRM/ToolPage.aspx?tid=13118^","Beam Software")</f>
        <v>Beam Software</v>
      </c>
      <c r="B3238" s="4" t="s">
        <v>6333</v>
      </c>
      <c r="C3238" s="8" t="s">
        <v>5</v>
      </c>
      <c r="D3238" s="11" t="s">
        <v>6334</v>
      </c>
    </row>
    <row r="3239" spans="1:4" ht="30">
      <c r="A3239" s="5" t="str">
        <f>HYPERLINK("https://www.oit.va.gov/Services/TRM/ToolPage.aspx?tid=8917^","SNP &amp; Variation Suite (SVS)")</f>
        <v>SNP &amp; Variation Suite (SVS)</v>
      </c>
      <c r="B3239" s="4" t="s">
        <v>1941</v>
      </c>
      <c r="C3239" s="8" t="s">
        <v>5</v>
      </c>
      <c r="D3239" s="11" t="s">
        <v>1942</v>
      </c>
    </row>
    <row r="3240" spans="1:4" ht="30">
      <c r="A3240" s="5" t="str">
        <f>HYPERLINK("https://www.oit.va.gov/Services/TRM/ToolPage.aspx?tid=13963^","GenomeBrowse")</f>
        <v>GenomeBrowse</v>
      </c>
      <c r="B3240" s="4" t="s">
        <v>1941</v>
      </c>
      <c r="C3240" s="8" t="s">
        <v>5</v>
      </c>
      <c r="D3240" s="11" t="s">
        <v>7973</v>
      </c>
    </row>
    <row r="3241" spans="1:4" ht="30">
      <c r="A3241" s="5" t="str">
        <f>HYPERLINK("https://www.oit.va.gov/Services/TRM/ToolPage.aspx?tid=15381^","Gold Shield Technologies (GST) Client")</f>
        <v>Gold Shield Technologies (GST) Client</v>
      </c>
      <c r="B3241" s="4" t="s">
        <v>5832</v>
      </c>
      <c r="C3241" s="8" t="s">
        <v>5</v>
      </c>
      <c r="D3241" s="11" t="s">
        <v>988</v>
      </c>
    </row>
    <row r="3242" spans="1:4" ht="30">
      <c r="A3242" s="5" t="str">
        <f>HYPERLINK("https://www.oit.va.gov/Services/TRM/ToolPage.aspx?tid=8199^","Goliath Performance Monitor")</f>
        <v>Goliath Performance Monitor</v>
      </c>
      <c r="B3242" s="4" t="s">
        <v>7991</v>
      </c>
      <c r="C3242" s="8" t="s">
        <v>5</v>
      </c>
      <c r="D3242" s="11" t="s">
        <v>6694</v>
      </c>
    </row>
    <row r="3243" spans="1:4" ht="30">
      <c r="A3243" s="5" t="str">
        <f>HYPERLINK("https://www.oit.va.gov/Services/TRM/ToolPage.aspx?tid=10105^","Blackberry Enterprise Mobility Server (BEMS)")</f>
        <v>Blackberry Enterprise Mobility Server (BEMS)</v>
      </c>
      <c r="B3243" s="4" t="s">
        <v>3174</v>
      </c>
      <c r="C3243" s="8" t="s">
        <v>5</v>
      </c>
      <c r="D3243" s="11" t="s">
        <v>3175</v>
      </c>
    </row>
    <row r="3244" spans="1:4" ht="30">
      <c r="A3244" s="5" t="str">
        <f>HYPERLINK("https://www.oit.va.gov/Services/TRM/ToolPage.aspx?tid=8984^","Android Studio")</f>
        <v>Android Studio</v>
      </c>
      <c r="B3244" s="4" t="s">
        <v>566</v>
      </c>
      <c r="C3244" s="8" t="s">
        <v>5</v>
      </c>
      <c r="D3244" s="11" t="s">
        <v>567</v>
      </c>
    </row>
    <row r="3245" spans="1:4" ht="30">
      <c r="A3245" s="5" t="str">
        <f>HYPERLINK("https://www.oit.va.gov/Services/TRM/ToolPage.aspx?tid=5620^","Google Earth")</f>
        <v>Google Earth</v>
      </c>
      <c r="B3245" s="4" t="s">
        <v>566</v>
      </c>
      <c r="C3245" s="8" t="s">
        <v>5</v>
      </c>
      <c r="D3245" s="11" t="s">
        <v>691</v>
      </c>
    </row>
    <row r="3246" spans="1:4" ht="30">
      <c r="A3246" s="5" t="str">
        <f>HYPERLINK("https://www.oit.va.gov/Services/TRM/ToolPage.aspx?tid=6890^","Android Software Development Kit (SDK)")</f>
        <v>Android Software Development Kit (SDK)</v>
      </c>
      <c r="B3246" s="4" t="s">
        <v>566</v>
      </c>
      <c r="C3246" s="8" t="s">
        <v>5</v>
      </c>
      <c r="D3246" s="11" t="s">
        <v>198</v>
      </c>
    </row>
    <row r="3247" spans="1:4" ht="30">
      <c r="A3247" s="5" t="str">
        <f>HYPERLINK("https://www.oit.va.gov/Services/TRM/ToolPage.aspx?tid=7842^","AngularJS")</f>
        <v>AngularJS</v>
      </c>
      <c r="B3247" s="4" t="s">
        <v>566</v>
      </c>
      <c r="C3247" s="8" t="s">
        <v>5</v>
      </c>
      <c r="D3247" s="11" t="s">
        <v>1297</v>
      </c>
    </row>
    <row r="3248" spans="1:4" ht="30">
      <c r="A3248" s="5" t="str">
        <f>HYPERLINK("https://www.oit.va.gov/Services/TRM/ToolPage.aspx?tid=10854^","TensorFlow")</f>
        <v>TensorFlow</v>
      </c>
      <c r="B3248" s="4" t="s">
        <v>566</v>
      </c>
      <c r="C3248" s="8" t="s">
        <v>5</v>
      </c>
      <c r="D3248" s="11" t="s">
        <v>1086</v>
      </c>
    </row>
    <row r="3249" spans="1:4" ht="30">
      <c r="A3249" s="5" t="str">
        <f>HYPERLINK("https://www.oit.va.gov/Services/TRM/ToolPage.aspx?tid=14865^","Google Web Designer (GWD)")</f>
        <v>Google Web Designer (GWD)</v>
      </c>
      <c r="B3249" s="4" t="s">
        <v>566</v>
      </c>
      <c r="C3249" s="8" t="s">
        <v>5</v>
      </c>
      <c r="D3249" s="11" t="s">
        <v>487</v>
      </c>
    </row>
    <row r="3250" spans="1:4" ht="30">
      <c r="A3250" s="5" t="str">
        <f>HYPERLINK("https://www.oit.va.gov/Services/TRM/ToolPage.aspx?tid=6484^","Google Analytics")</f>
        <v>Google Analytics</v>
      </c>
      <c r="B3250" s="4" t="s">
        <v>566</v>
      </c>
      <c r="C3250" s="8" t="s">
        <v>5</v>
      </c>
      <c r="D3250" s="11" t="s">
        <v>2631</v>
      </c>
    </row>
    <row r="3251" spans="1:4" ht="30">
      <c r="A3251" s="5" t="str">
        <f>HYPERLINK("https://www.oit.va.gov/Services/TRM/ToolPage.aspx?tid=13144^","Angular")</f>
        <v>Angular</v>
      </c>
      <c r="B3251" s="4" t="s">
        <v>566</v>
      </c>
      <c r="C3251" s="8" t="s">
        <v>5</v>
      </c>
      <c r="D3251" s="11" t="s">
        <v>2058</v>
      </c>
    </row>
    <row r="3252" spans="1:4" ht="30">
      <c r="A3252" s="5" t="str">
        <f>HYPERLINK("https://www.oit.va.gov/Services/TRM/ToolPage.aspx?tid=15980^","Angular DevTools")</f>
        <v>Angular DevTools</v>
      </c>
      <c r="B3252" s="4" t="s">
        <v>566</v>
      </c>
      <c r="C3252" s="8" t="s">
        <v>5</v>
      </c>
      <c r="D3252" s="11" t="s">
        <v>3743</v>
      </c>
    </row>
    <row r="3253" spans="1:4" ht="30">
      <c r="A3253" s="5" t="str">
        <f>HYPERLINK("https://www.oit.va.gov/Services/TRM/ToolPage.aspx?tid=8772^","Gerrit")</f>
        <v>Gerrit</v>
      </c>
      <c r="B3253" s="4" t="s">
        <v>566</v>
      </c>
      <c r="C3253" s="8" t="s">
        <v>5</v>
      </c>
      <c r="D3253" s="11" t="s">
        <v>1566</v>
      </c>
    </row>
    <row r="3254" spans="1:4" ht="30">
      <c r="A3254" s="5" t="str">
        <f>HYPERLINK("https://www.oit.va.gov/Services/TRM/ToolPage.aspx?tid=15522^","Goniometer Google Chrome Extension")</f>
        <v>Goniometer Google Chrome Extension</v>
      </c>
      <c r="B3254" s="4" t="s">
        <v>566</v>
      </c>
      <c r="C3254" s="8" t="s">
        <v>5</v>
      </c>
      <c r="D3254" s="11" t="s">
        <v>4189</v>
      </c>
    </row>
    <row r="3255" spans="1:4" ht="30">
      <c r="A3255" s="5" t="str">
        <f>HYPERLINK("https://www.oit.va.gov/Services/TRM/ToolPage.aspx?tid=15616^","Protractor Chrome Extension")</f>
        <v>Protractor Chrome Extension</v>
      </c>
      <c r="B3255" s="4" t="s">
        <v>566</v>
      </c>
      <c r="C3255" s="8" t="s">
        <v>5</v>
      </c>
      <c r="D3255" s="11" t="s">
        <v>4435</v>
      </c>
    </row>
    <row r="3256" spans="1:4" ht="30">
      <c r="A3256" s="5" t="str">
        <f>HYPERLINK("https://www.oit.va.gov/Services/TRM/ToolPage.aspx?tid=11153^","Angular Command Line Interface (CLI)")</f>
        <v>Angular Command Line Interface (CLI)</v>
      </c>
      <c r="B3256" s="4" t="s">
        <v>566</v>
      </c>
      <c r="C3256" s="8" t="s">
        <v>5</v>
      </c>
      <c r="D3256" s="11" t="s">
        <v>1141</v>
      </c>
    </row>
    <row r="3257" spans="1:4" ht="30">
      <c r="A3257" s="5" t="str">
        <f>HYPERLINK("https://www.oit.va.gov/Services/TRM/ToolPage.aspx?tid=11646^","Google Drive")</f>
        <v>Google Drive</v>
      </c>
      <c r="B3257" s="4" t="s">
        <v>566</v>
      </c>
      <c r="C3257" s="8" t="s">
        <v>5</v>
      </c>
      <c r="D3257" s="11" t="s">
        <v>5219</v>
      </c>
    </row>
    <row r="3258" spans="1:4" ht="30">
      <c r="A3258" s="5" t="str">
        <f>HYPERLINK("https://www.oit.va.gov/Services/TRM/ToolPage.aspx?tid=13850^","OpenRefine")</f>
        <v>OpenRefine</v>
      </c>
      <c r="B3258" s="4" t="s">
        <v>566</v>
      </c>
      <c r="C3258" s="8" t="s">
        <v>5</v>
      </c>
      <c r="D3258" s="11" t="s">
        <v>2402</v>
      </c>
    </row>
    <row r="3259" spans="1:4" ht="30">
      <c r="A3259" s="5" t="str">
        <f>HYPERLINK("https://www.oit.va.gov/Services/TRM/ToolPage.aspx?tid=13109^","Android (Mobile)")</f>
        <v>Android (Mobile)</v>
      </c>
      <c r="B3259" s="4" t="s">
        <v>566</v>
      </c>
      <c r="C3259" s="8" t="s">
        <v>5</v>
      </c>
      <c r="D3259" s="11" t="s">
        <v>4871</v>
      </c>
    </row>
    <row r="3260" spans="1:4" ht="30">
      <c r="A3260" s="5" t="str">
        <f>HYPERLINK("https://www.oit.va.gov/Services/TRM/ToolPage.aspx?tid=11692^","ChromeVox")</f>
        <v>ChromeVox</v>
      </c>
      <c r="B3260" s="4" t="s">
        <v>566</v>
      </c>
      <c r="C3260" s="8" t="s">
        <v>5</v>
      </c>
      <c r="D3260" s="11" t="s">
        <v>6398</v>
      </c>
    </row>
    <row r="3261" spans="1:4" ht="30">
      <c r="A3261" s="5" t="str">
        <f>HYPERLINK("https://www.oit.va.gov/Services/TRM/ToolPage.aspx?tid=15533^","EasyBib Toolbar")</f>
        <v>EasyBib Toolbar</v>
      </c>
      <c r="B3261" s="4" t="s">
        <v>566</v>
      </c>
      <c r="C3261" s="8" t="s">
        <v>5</v>
      </c>
      <c r="D3261" s="11" t="s">
        <v>3130</v>
      </c>
    </row>
    <row r="3262" spans="1:4" ht="30">
      <c r="A3262" s="5" t="str">
        <f>HYPERLINK("https://www.oit.va.gov/Services/TRM/ToolPage.aspx?tid=15433^","Github Downloader")</f>
        <v>Github Downloader</v>
      </c>
      <c r="B3262" s="4" t="s">
        <v>566</v>
      </c>
      <c r="C3262" s="8" t="s">
        <v>5</v>
      </c>
      <c r="D3262" s="11" t="s">
        <v>2615</v>
      </c>
    </row>
    <row r="3263" spans="1:4" ht="30">
      <c r="A3263" s="5" t="str">
        <f>HYPERLINK("https://www.oit.va.gov/Services/TRM/ToolPage.aspx?tid=14896^","Google Civic Information Application Programming Interface (API)")</f>
        <v>Google Civic Information Application Programming Interface (API)</v>
      </c>
      <c r="B3263" s="4" t="s">
        <v>566</v>
      </c>
      <c r="C3263" s="8" t="s">
        <v>5</v>
      </c>
      <c r="D3263" s="11" t="s">
        <v>5214</v>
      </c>
    </row>
    <row r="3264" spans="1:4" ht="30">
      <c r="A3264" s="5" t="str">
        <f>HYPERLINK("https://www.oit.va.gov/Services/TRM/ToolPage.aspx?tid=5015^","Google Maps Application Programming Interface (API)")</f>
        <v>Google Maps Application Programming Interface (API)</v>
      </c>
      <c r="B3264" s="4" t="s">
        <v>566</v>
      </c>
      <c r="C3264" s="8" t="s">
        <v>5</v>
      </c>
      <c r="D3264" s="11" t="s">
        <v>6661</v>
      </c>
    </row>
    <row r="3265" spans="1:4" ht="30">
      <c r="A3265" s="5" t="str">
        <f>HYPERLINK("https://www.oit.va.gov/Services/TRM/ToolPage.aspx?tid=16690^","Google Voice")</f>
        <v>Google Voice</v>
      </c>
      <c r="B3265" s="4" t="s">
        <v>566</v>
      </c>
      <c r="C3265" s="8" t="s">
        <v>5</v>
      </c>
      <c r="D3265" s="11" t="s">
        <v>6662</v>
      </c>
    </row>
    <row r="3266" spans="1:4" ht="30">
      <c r="A3266" s="5" t="str">
        <f>HYPERLINK("https://www.oit.va.gov/Services/TRM/ToolPage.aspx?tid=15429^","Level Up for Dynamics 365/Power Apps Chrome Extension")</f>
        <v>Level Up for Dynamics 365/Power Apps Chrome Extension</v>
      </c>
      <c r="B3266" s="4" t="s">
        <v>566</v>
      </c>
      <c r="C3266" s="8" t="s">
        <v>5</v>
      </c>
      <c r="D3266" s="11" t="s">
        <v>2649</v>
      </c>
    </row>
    <row r="3267" spans="1:4" ht="30">
      <c r="A3267" s="5" t="str">
        <f>HYPERLINK("https://www.oit.va.gov/Services/TRM/ToolPage.aspx?tid=16368^","Protocol Buffers (ProtoBuf)")</f>
        <v>Protocol Buffers (ProtoBuf)</v>
      </c>
      <c r="B3267" s="4" t="s">
        <v>566</v>
      </c>
      <c r="C3267" s="8" t="s">
        <v>5</v>
      </c>
      <c r="D3267" s="11" t="s">
        <v>7036</v>
      </c>
    </row>
    <row r="3268" spans="1:4" ht="30">
      <c r="A3268" s="5" t="str">
        <f>HYPERLINK("https://www.oit.va.gov/Services/TRM/ToolPage.aspx?tid=15583^","Squarespace ID Finder")</f>
        <v>Squarespace ID Finder</v>
      </c>
      <c r="B3268" s="4" t="s">
        <v>566</v>
      </c>
      <c r="C3268" s="8" t="s">
        <v>5</v>
      </c>
      <c r="D3268" s="11" t="s">
        <v>7178</v>
      </c>
    </row>
    <row r="3269" spans="1:4" ht="30">
      <c r="A3269" s="5" t="str">
        <f>HYPERLINK("https://www.oit.va.gov/Services/TRM/ToolPage.aspx?tid=15404^","Sticky Notes (Chrome Extension)")</f>
        <v>Sticky Notes (Chrome Extension)</v>
      </c>
      <c r="B3269" s="4" t="s">
        <v>566</v>
      </c>
      <c r="C3269" s="8" t="s">
        <v>5</v>
      </c>
      <c r="D3269" s="11" t="s">
        <v>7187</v>
      </c>
    </row>
    <row r="3270" spans="1:4" ht="30">
      <c r="A3270" s="5" t="str">
        <f>HYPERLINK("https://www.oit.va.gov/Services/TRM/ToolPage.aspx?tid=15509^","Zendesk Auto Refresh Browser Extension")</f>
        <v>Zendesk Auto Refresh Browser Extension</v>
      </c>
      <c r="B3270" s="4" t="s">
        <v>566</v>
      </c>
      <c r="C3270" s="8" t="s">
        <v>5</v>
      </c>
      <c r="D3270" s="11" t="s">
        <v>5108</v>
      </c>
    </row>
    <row r="3271" spans="1:4" ht="30">
      <c r="A3271" s="5" t="str">
        <f>HYPERLINK("https://www.oit.va.gov/Services/TRM/ToolPage.aspx?tid=13178^","cAdvisor")</f>
        <v>cAdvisor</v>
      </c>
      <c r="B3271" s="4" t="s">
        <v>566</v>
      </c>
      <c r="C3271" s="8" t="s">
        <v>5</v>
      </c>
      <c r="D3271" s="11" t="s">
        <v>194</v>
      </c>
    </row>
    <row r="3272" spans="1:4" ht="30">
      <c r="A3272" s="5" t="str">
        <f>HYPERLINK("https://www.oit.va.gov/Services/TRM/ToolPage.aspx?tid=5985^","Google Gmail Notifier")</f>
        <v>Google Gmail Notifier</v>
      </c>
      <c r="B3272" s="4" t="s">
        <v>566</v>
      </c>
      <c r="C3272" s="8" t="s">
        <v>5</v>
      </c>
      <c r="D3272" s="11" t="s">
        <v>2111</v>
      </c>
    </row>
    <row r="3273" spans="1:4" ht="30">
      <c r="A3273" s="5" t="str">
        <f>HYPERLINK("https://www.oit.va.gov/Services/TRM/ToolPage.aspx?tid=14008^","Google Keep")</f>
        <v>Google Keep</v>
      </c>
      <c r="B3273" s="4" t="s">
        <v>566</v>
      </c>
      <c r="C3273" s="8" t="s">
        <v>5</v>
      </c>
      <c r="D3273" s="11" t="s">
        <v>7993</v>
      </c>
    </row>
    <row r="3274" spans="1:4" ht="30">
      <c r="A3274" s="5" t="str">
        <f>HYPERLINK("https://www.oit.va.gov/Services/TRM/ToolPage.aspx?tid=14937^","Google Update Helper")</f>
        <v>Google Update Helper</v>
      </c>
      <c r="B3274" s="4" t="s">
        <v>566</v>
      </c>
      <c r="C3274" s="8" t="s">
        <v>5</v>
      </c>
      <c r="D3274" s="11" t="s">
        <v>7994</v>
      </c>
    </row>
    <row r="3275" spans="1:4" ht="30">
      <c r="A3275" s="5" t="str">
        <f>HYPERLINK("https://www.oit.va.gov/Services/TRM/ToolPage.aspx?tid=7931^","Google Web Toolkit (GWT)")</f>
        <v>Google Web Toolkit (GWT)</v>
      </c>
      <c r="B3275" s="4" t="s">
        <v>566</v>
      </c>
      <c r="C3275" s="8" t="s">
        <v>5</v>
      </c>
      <c r="D3275" s="11" t="s">
        <v>6065</v>
      </c>
    </row>
    <row r="3276" spans="1:4" ht="30">
      <c r="A3276" s="5" t="str">
        <f>HYPERLINK("https://www.oit.va.gov/Services/TRM/ToolPage.aspx?tid=10538^","Gsutil")</f>
        <v>Gsutil</v>
      </c>
      <c r="B3276" s="4" t="s">
        <v>566</v>
      </c>
      <c r="C3276" s="8" t="s">
        <v>5</v>
      </c>
      <c r="D3276" s="11" t="s">
        <v>7215</v>
      </c>
    </row>
    <row r="3277" spans="1:4" ht="30">
      <c r="A3277" s="5" t="str">
        <f>HYPERLINK("https://www.oit.va.gov/Services/TRM/ToolPage.aspx?tid=8684^","Hangouts")</f>
        <v>Hangouts</v>
      </c>
      <c r="B3277" s="4" t="s">
        <v>566</v>
      </c>
      <c r="C3277" s="8" t="s">
        <v>5</v>
      </c>
      <c r="D3277" s="11" t="s">
        <v>7221</v>
      </c>
    </row>
    <row r="3278" spans="1:4" ht="30">
      <c r="A3278" s="5" t="str">
        <f>HYPERLINK("https://www.oit.va.gov/Services/TRM/ToolPage.aspx?tid=5689^","Picasa")</f>
        <v>Picasa</v>
      </c>
      <c r="B3278" s="4" t="s">
        <v>566</v>
      </c>
      <c r="C3278" s="8" t="s">
        <v>5</v>
      </c>
      <c r="D3278" s="11" t="s">
        <v>8431</v>
      </c>
    </row>
    <row r="3279" spans="1:4" ht="30">
      <c r="A3279" s="5" t="str">
        <f>HYPERLINK("https://www.oit.va.gov/Services/TRM/ToolPage.aspx?tid=11589^","Protractor")</f>
        <v>Protractor</v>
      </c>
      <c r="B3279" s="4" t="s">
        <v>566</v>
      </c>
      <c r="C3279" s="8" t="s">
        <v>5</v>
      </c>
      <c r="D3279" s="11" t="s">
        <v>4688</v>
      </c>
    </row>
    <row r="3280" spans="1:4" ht="30">
      <c r="A3280" s="5" t="str">
        <f>HYPERLINK("https://www.oit.va.gov/Services/TRM/ToolPage.aspx?tid=7348^","Google GSON")</f>
        <v>Google GSON</v>
      </c>
      <c r="B3280" s="4" t="s">
        <v>4190</v>
      </c>
      <c r="C3280" s="8" t="s">
        <v>5</v>
      </c>
      <c r="D3280" s="11" t="s">
        <v>4191</v>
      </c>
    </row>
    <row r="3281" spans="1:4" ht="30">
      <c r="A3281" s="5" t="str">
        <f>HYPERLINK("https://www.oit.va.gov/Services/TRM/ToolPage.aspx?tid=10908^","Fastlane")</f>
        <v>Fastlane</v>
      </c>
      <c r="B3281" s="4" t="s">
        <v>4190</v>
      </c>
      <c r="C3281" s="8" t="s">
        <v>5</v>
      </c>
      <c r="D3281" s="11" t="s">
        <v>6063</v>
      </c>
    </row>
    <row r="3282" spans="1:4" ht="30">
      <c r="A3282" s="5" t="str">
        <f>HYPERLINK("https://www.oit.va.gov/Services/TRM/ToolPage.aspx?tid=12997^","Google Puppeteer")</f>
        <v>Google Puppeteer</v>
      </c>
      <c r="B3282" s="4" t="s">
        <v>4190</v>
      </c>
      <c r="C3282" s="8" t="s">
        <v>5</v>
      </c>
      <c r="D3282" s="11" t="s">
        <v>2136</v>
      </c>
    </row>
    <row r="3283" spans="1:4" ht="30">
      <c r="A3283" s="5" t="str">
        <f>HYPERLINK("https://www.oit.va.gov/Services/TRM/ToolPage.aspx?tid=14706^","RSMeans Facilities Construction Costs Compact Disk (CD)")</f>
        <v>RSMeans Facilities Construction Costs Compact Disk (CD)</v>
      </c>
      <c r="B3283" s="4" t="s">
        <v>6053</v>
      </c>
      <c r="C3283" s="8" t="s">
        <v>5</v>
      </c>
      <c r="D3283" s="11" t="s">
        <v>965</v>
      </c>
    </row>
    <row r="3284" spans="1:4" ht="30">
      <c r="A3284" s="5" t="str">
        <f>HYPERLINK("https://www.oit.va.gov/Services/TRM/ToolPage.aspx?tid=11131^","Join.Me")</f>
        <v>Join.Me</v>
      </c>
      <c r="B3284" s="4" t="s">
        <v>1675</v>
      </c>
      <c r="C3284" s="8" t="s">
        <v>5</v>
      </c>
      <c r="D3284" s="11" t="s">
        <v>1676</v>
      </c>
    </row>
    <row r="3285" spans="1:4" ht="30">
      <c r="A3285" s="5" t="str">
        <f>HYPERLINK("https://www.oit.va.gov/Services/TRM/ToolPage.aspx?tid=11814^","GoToMeeting")</f>
        <v>GoToMeeting</v>
      </c>
      <c r="B3285" s="4" t="s">
        <v>1675</v>
      </c>
      <c r="C3285" s="8" t="s">
        <v>5</v>
      </c>
      <c r="D3285" s="11" t="s">
        <v>3317</v>
      </c>
    </row>
    <row r="3286" spans="1:4" ht="30">
      <c r="A3286" s="5" t="str">
        <f>HYPERLINK("https://www.oit.va.gov/Services/TRM/ToolPage.aspx?tid=6695^","GoToWebinar")</f>
        <v>GoToWebinar</v>
      </c>
      <c r="B3286" s="4" t="s">
        <v>1675</v>
      </c>
      <c r="C3286" s="8" t="s">
        <v>5</v>
      </c>
      <c r="D3286" s="11" t="s">
        <v>5998</v>
      </c>
    </row>
    <row r="3287" spans="1:4" ht="30">
      <c r="A3287" s="5" t="str">
        <f>HYPERLINK("https://www.oit.va.gov/Services/TRM/ToolPage.aspx?tid=13429^","GoToMyPC")</f>
        <v>GoToMyPC</v>
      </c>
      <c r="B3287" s="4" t="s">
        <v>7996</v>
      </c>
      <c r="C3287" s="8" t="s">
        <v>5</v>
      </c>
      <c r="D3287" s="11" t="s">
        <v>6770</v>
      </c>
    </row>
    <row r="3288" spans="1:4" ht="30">
      <c r="A3288" s="5" t="str">
        <f>HYPERLINK("https://www.oit.va.gov/Services/TRM/ToolPage.aspx?tid=13743^","Visual Planning Enterprise Software")</f>
        <v>Visual Planning Enterprise Software</v>
      </c>
      <c r="B3288" s="4" t="s">
        <v>8889</v>
      </c>
      <c r="C3288" s="8" t="s">
        <v>5</v>
      </c>
      <c r="D3288" s="11" t="s">
        <v>8890</v>
      </c>
    </row>
    <row r="3289" spans="1:4" ht="30">
      <c r="A3289" s="5" t="str">
        <f>HYPERLINK("https://www.oit.va.gov/Services/TRM/ToolPage.aspx?tid=15518^","Goverlan Reach Console")</f>
        <v>Goverlan Reach Console</v>
      </c>
      <c r="B3289" s="4" t="s">
        <v>6663</v>
      </c>
      <c r="C3289" s="8" t="s">
        <v>5</v>
      </c>
      <c r="D3289" s="11" t="s">
        <v>6664</v>
      </c>
    </row>
    <row r="3290" spans="1:4" ht="30">
      <c r="A3290" s="5" t="str">
        <f>HYPERLINK("https://www.oit.va.gov/Services/TRM/ToolPage.aspx?tid=13923^","GNU Privacy Guard for Windows (Gpg4win)")</f>
        <v>GNU Privacy Guard for Windows (Gpg4win)</v>
      </c>
      <c r="B3290" s="4" t="s">
        <v>522</v>
      </c>
      <c r="C3290" s="8" t="s">
        <v>5</v>
      </c>
      <c r="D3290" s="11" t="s">
        <v>523</v>
      </c>
    </row>
    <row r="3291" spans="1:4" ht="30">
      <c r="A3291" s="5" t="str">
        <f>HYPERLINK("https://www.oit.va.gov/Services/TRM/ToolPage.aspx?tid=5938^","DBsign Web Signer")</f>
        <v>DBsign Web Signer</v>
      </c>
      <c r="B3291" s="4" t="s">
        <v>7740</v>
      </c>
      <c r="C3291" s="8" t="s">
        <v>5</v>
      </c>
      <c r="D3291" s="11" t="s">
        <v>7606</v>
      </c>
    </row>
    <row r="3292" spans="1:4" ht="30">
      <c r="A3292" s="5" t="str">
        <f>HYPERLINK("https://www.oit.va.gov/Services/TRM/ToolPage.aspx?tid=7507^","Gradle")</f>
        <v>Gradle</v>
      </c>
      <c r="B3292" s="4" t="s">
        <v>1580</v>
      </c>
      <c r="C3292" s="8" t="s">
        <v>5</v>
      </c>
      <c r="D3292" s="11" t="s">
        <v>729</v>
      </c>
    </row>
    <row r="3293" spans="1:4" ht="30">
      <c r="A3293" s="5" t="str">
        <f>HYPERLINK("https://www.oit.va.gov/Services/TRM/ToolPage.aspx?tid=10426^","Grafana")</f>
        <v>Grafana</v>
      </c>
      <c r="B3293" s="4" t="s">
        <v>1581</v>
      </c>
      <c r="C3293" s="8" t="s">
        <v>5</v>
      </c>
      <c r="D3293" s="11" t="s">
        <v>169</v>
      </c>
    </row>
    <row r="3294" spans="1:4" ht="30">
      <c r="A3294" s="5" t="str">
        <f>HYPERLINK("https://www.oit.va.gov/Services/TRM/ToolPage.aspx?tid=15851^","Loki")</f>
        <v>Loki</v>
      </c>
      <c r="B3294" s="4" t="s">
        <v>1581</v>
      </c>
      <c r="C3294" s="8" t="s">
        <v>5</v>
      </c>
      <c r="D3294" s="11" t="s">
        <v>1703</v>
      </c>
    </row>
    <row r="3295" spans="1:4" ht="30">
      <c r="A3295" s="5" t="str">
        <f>HYPERLINK("https://www.oit.va.gov/Services/TRM/ToolPage.aspx?tid=8645^","Link Cascading Style Sheets (CSS) - Drupal Module")</f>
        <v>Link Cascading Style Sheets (CSS) - Drupal Module</v>
      </c>
      <c r="B3295" s="4" t="s">
        <v>4361</v>
      </c>
      <c r="C3295" s="8" t="s">
        <v>5</v>
      </c>
      <c r="D3295" s="11" t="s">
        <v>640</v>
      </c>
    </row>
    <row r="3296" spans="1:4" ht="30">
      <c r="A3296" s="5" t="str">
        <f>HYPERLINK("https://www.oit.va.gov/Services/TRM/ToolPage.aspx?tid=16566^","Grammarly for Windows")</f>
        <v>Grammarly for Windows</v>
      </c>
      <c r="B3296" s="4" t="s">
        <v>6665</v>
      </c>
      <c r="C3296" s="8" t="s">
        <v>5</v>
      </c>
      <c r="D3296" s="11" t="s">
        <v>6666</v>
      </c>
    </row>
    <row r="3297" spans="1:4" ht="30">
      <c r="A3297" s="5" t="str">
        <f>HYPERLINK("https://www.oit.va.gov/Services/TRM/ToolPage.aspx?tid=10412^","Grammarly for Microsoft (MS) Office")</f>
        <v>Grammarly for Microsoft (MS) Office</v>
      </c>
      <c r="B3297" s="4" t="s">
        <v>413</v>
      </c>
      <c r="C3297" s="8" t="s">
        <v>5</v>
      </c>
      <c r="D3297" s="11" t="s">
        <v>414</v>
      </c>
    </row>
    <row r="3298" spans="1:4" ht="30">
      <c r="A3298" s="5" t="str">
        <f>HYPERLINK("https://www.oit.va.gov/Services/TRM/ToolPage.aspx?tid=7032^","SILVERRUN Relational Data Modeler (RDM)")</f>
        <v>SILVERRUN Relational Data Modeler (RDM)</v>
      </c>
      <c r="B3298" s="4" t="s">
        <v>851</v>
      </c>
      <c r="C3298" s="8" t="s">
        <v>5</v>
      </c>
      <c r="D3298" s="11" t="s">
        <v>852</v>
      </c>
    </row>
    <row r="3299" spans="1:4" ht="30">
      <c r="A3299" s="5" t="str">
        <f>HYPERLINK("https://www.oit.va.gov/Services/TRM/ToolPage.aspx?tid=14184^","Eco Materials Adviser")</f>
        <v>Eco Materials Adviser</v>
      </c>
      <c r="B3299" s="4" t="s">
        <v>6561</v>
      </c>
      <c r="C3299" s="8" t="s">
        <v>5</v>
      </c>
      <c r="D3299" s="11" t="s">
        <v>5145</v>
      </c>
    </row>
    <row r="3300" spans="1:4" ht="30">
      <c r="A3300" s="5" t="str">
        <f>HYPERLINK("https://www.oit.va.gov/Services/TRM/ToolPage.aspx?tid=7428^","Spread.NET")</f>
        <v>Spread.NET</v>
      </c>
      <c r="B3300" s="4" t="s">
        <v>4</v>
      </c>
      <c r="C3300" s="8" t="s">
        <v>5</v>
      </c>
      <c r="D3300" s="11" t="s">
        <v>6</v>
      </c>
    </row>
    <row r="3301" spans="1:4" ht="30">
      <c r="A3301" s="5" t="str">
        <f>HYPERLINK("https://www.oit.va.gov/Services/TRM/ToolPage.aspx?tid=7552^","WinForms (Windows Forms) Edition")</f>
        <v>WinForms (Windows Forms) Edition</v>
      </c>
      <c r="B3301" s="4" t="s">
        <v>4</v>
      </c>
      <c r="C3301" s="8" t="s">
        <v>5</v>
      </c>
      <c r="D3301" s="11" t="s">
        <v>906</v>
      </c>
    </row>
    <row r="3302" spans="1:4" ht="30">
      <c r="A3302" s="5" t="str">
        <f>HYPERLINK("https://www.oit.va.gov/Services/TRM/ToolPage.aspx?tid=15852^","Labelforge PRO")</f>
        <v>Labelforge PRO</v>
      </c>
      <c r="B3302" s="4" t="s">
        <v>1023</v>
      </c>
      <c r="C3302" s="8" t="s">
        <v>5</v>
      </c>
      <c r="D3302" s="11" t="s">
        <v>1024</v>
      </c>
    </row>
    <row r="3303" spans="1:4" ht="30">
      <c r="A3303" s="5" t="str">
        <f>HYPERLINK("https://www.oit.va.gov/Services/TRM/ToolPage.aspx?tid=11123^","Graphical Network Simulator 3 (GNS3)")</f>
        <v>Graphical Network Simulator 3 (GNS3)</v>
      </c>
      <c r="B3303" s="4" t="s">
        <v>3318</v>
      </c>
      <c r="C3303" s="8" t="s">
        <v>5</v>
      </c>
      <c r="D3303" s="11" t="s">
        <v>3319</v>
      </c>
    </row>
    <row r="3304" spans="1:4" ht="30">
      <c r="A3304" s="5" t="str">
        <f>HYPERLINK("https://www.oit.va.gov/Services/TRM/ToolPage.aspx?tid=14157^","GraphicsMagick")</f>
        <v>GraphicsMagick</v>
      </c>
      <c r="B3304" s="4" t="s">
        <v>7999</v>
      </c>
      <c r="C3304" s="8" t="s">
        <v>5</v>
      </c>
      <c r="D3304" s="11" t="s">
        <v>4724</v>
      </c>
    </row>
    <row r="3305" spans="1:4" ht="30">
      <c r="A3305" s="5" t="str">
        <f>HYPERLINK("https://www.oit.va.gov/Services/TRM/ToolPage.aspx?tid=13083^","Graphisoft ArchiCAD (Computer Aided Design)")</f>
        <v>Graphisoft ArchiCAD (Computer Aided Design)</v>
      </c>
      <c r="B3305" s="4" t="s">
        <v>6668</v>
      </c>
      <c r="C3305" s="8" t="s">
        <v>5</v>
      </c>
      <c r="D3305" s="11" t="s">
        <v>211</v>
      </c>
    </row>
    <row r="3306" spans="1:4" ht="30">
      <c r="A3306" s="5" t="str">
        <f>HYPERLINK("https://www.oit.va.gov/Services/TRM/ToolPage.aspx?tid=5987^","GraphPad Prism")</f>
        <v>GraphPad Prism</v>
      </c>
      <c r="B3306" s="4" t="s">
        <v>2632</v>
      </c>
      <c r="C3306" s="8" t="s">
        <v>5</v>
      </c>
      <c r="D3306" s="11" t="s">
        <v>2633</v>
      </c>
    </row>
    <row r="3307" spans="1:4" ht="30">
      <c r="A3307" s="5" t="str">
        <f>HYPERLINK("https://www.oit.va.gov/Services/TRM/ToolPage.aspx?tid=13917^","Cutting Master 5")</f>
        <v>Cutting Master 5</v>
      </c>
      <c r="B3307" s="4" t="s">
        <v>3238</v>
      </c>
      <c r="C3307" s="8" t="s">
        <v>5</v>
      </c>
      <c r="D3307" s="11" t="s">
        <v>3239</v>
      </c>
    </row>
    <row r="3308" spans="1:4" ht="30">
      <c r="A3308" s="5" t="str">
        <f>HYPERLINK("https://www.oit.va.gov/Services/TRM/ToolPage.aspx?tid=13636^","Cutting Master 3")</f>
        <v>Cutting Master 3</v>
      </c>
      <c r="B3308" s="4" t="s">
        <v>3238</v>
      </c>
      <c r="C3308" s="8" t="s">
        <v>5</v>
      </c>
      <c r="D3308" s="11" t="s">
        <v>6651</v>
      </c>
    </row>
    <row r="3309" spans="1:4" ht="30">
      <c r="A3309" s="5" t="str">
        <f>HYPERLINK("https://www.oit.va.gov/Services/TRM/ToolPage.aspx?tid=14666^","Graphtec Studio (GS)")</f>
        <v>Graphtec Studio (GS)</v>
      </c>
      <c r="B3309" s="4" t="s">
        <v>3238</v>
      </c>
      <c r="C3309" s="8" t="s">
        <v>5</v>
      </c>
      <c r="D3309" s="11" t="s">
        <v>2645</v>
      </c>
    </row>
    <row r="3310" spans="1:4" ht="30">
      <c r="A3310" s="5" t="str">
        <f>HYPERLINK("https://www.oit.va.gov/Services/TRM/ToolPage.aspx?tid=12850^","Automated Method for Testing Auditory Sensitivity (AMTAS) Pro")</f>
        <v>Automated Method for Testing Auditory Sensitivity (AMTAS) Pro</v>
      </c>
      <c r="B3310" s="4" t="s">
        <v>1329</v>
      </c>
      <c r="C3310" s="8" t="s">
        <v>5</v>
      </c>
      <c r="D3310" s="11" t="s">
        <v>1330</v>
      </c>
    </row>
    <row r="3311" spans="1:4" ht="30">
      <c r="A3311" s="5" t="str">
        <f>HYPERLINK("https://www.oit.va.gov/Services/TRM/ToolPage.aspx?tid=8245^","Grason-Stadler Incorporation (GSI) Suite Software")</f>
        <v>Grason-Stadler Incorporation (GSI) Suite Software</v>
      </c>
      <c r="B3311" s="4" t="s">
        <v>1329</v>
      </c>
      <c r="C3311" s="8" t="s">
        <v>5</v>
      </c>
      <c r="D3311" s="11" t="s">
        <v>1582</v>
      </c>
    </row>
    <row r="3312" spans="1:4" ht="30">
      <c r="A3312" s="5" t="str">
        <f>HYPERLINK("https://www.oit.va.gov/Services/TRM/ToolPage.aspx?tid=16466^","Audera Pro")</f>
        <v>Audera Pro</v>
      </c>
      <c r="B3312" s="4" t="s">
        <v>925</v>
      </c>
      <c r="C3312" s="8" t="s">
        <v>5</v>
      </c>
      <c r="D3312" s="11" t="s">
        <v>926</v>
      </c>
    </row>
    <row r="3313" spans="1:4" ht="30">
      <c r="A3313" s="5" t="str">
        <f>HYPERLINK("https://www.oit.va.gov/Services/TRM/ToolPage.aspx?tid=11767^","Edius Pro")</f>
        <v>Edius Pro</v>
      </c>
      <c r="B3313" s="4" t="s">
        <v>6562</v>
      </c>
      <c r="C3313" s="8" t="s">
        <v>5</v>
      </c>
      <c r="D3313" s="11" t="s">
        <v>3436</v>
      </c>
    </row>
    <row r="3314" spans="1:4" ht="30">
      <c r="A3314" s="5" t="str">
        <f>HYPERLINK("https://www.oit.va.gov/Services/TRM/ToolPage.aspx?tid=15494^","Remark Web Survey")</f>
        <v>Remark Web Survey</v>
      </c>
      <c r="B3314" s="4" t="s">
        <v>456</v>
      </c>
      <c r="C3314" s="8" t="s">
        <v>5</v>
      </c>
      <c r="D3314" s="11" t="s">
        <v>457</v>
      </c>
    </row>
    <row r="3315" spans="1:4" ht="30">
      <c r="A3315" s="5" t="str">
        <f>HYPERLINK("https://www.oit.va.gov/Services/TRM/ToolPage.aspx?tid=9570^","Remark Office Optical Mark Recognition Software")</f>
        <v>Remark Office Optical Mark Recognition Software</v>
      </c>
      <c r="B3315" s="4" t="s">
        <v>1089</v>
      </c>
      <c r="C3315" s="8" t="s">
        <v>5</v>
      </c>
      <c r="D3315" s="11" t="s">
        <v>1090</v>
      </c>
    </row>
    <row r="3316" spans="1:4" ht="30">
      <c r="A3316" s="5" t="str">
        <f>HYPERLINK("https://www.oit.va.gov/Services/TRM/ToolPage.aspx?tid=7483^","GravoStyle")</f>
        <v>GravoStyle</v>
      </c>
      <c r="B3316" s="4" t="s">
        <v>8000</v>
      </c>
      <c r="C3316" s="8" t="s">
        <v>5</v>
      </c>
      <c r="D3316" s="11" t="s">
        <v>4433</v>
      </c>
    </row>
    <row r="3317" spans="1:4" ht="30">
      <c r="A3317" s="5" t="str">
        <f>HYPERLINK("https://www.oit.va.gov/Services/TRM/ToolPage.aspx?tid=13005^","Graylog")</f>
        <v>Graylog</v>
      </c>
      <c r="B3317" s="4" t="s">
        <v>2634</v>
      </c>
      <c r="C3317" s="8" t="s">
        <v>5</v>
      </c>
      <c r="D3317" s="11" t="s">
        <v>2635</v>
      </c>
    </row>
    <row r="3318" spans="1:4" ht="30">
      <c r="A3318" s="5" t="str">
        <f>HYPERLINK("https://www.oit.va.gov/Services/TRM/ToolPage.aspx?tid=15161^","WolfSense PC")</f>
        <v>WolfSense PC</v>
      </c>
      <c r="B3318" s="4" t="s">
        <v>7336</v>
      </c>
      <c r="C3318" s="8" t="s">
        <v>5</v>
      </c>
      <c r="D3318" s="11" t="s">
        <v>7337</v>
      </c>
    </row>
    <row r="3319" spans="1:4" ht="30">
      <c r="A3319" s="5" t="str">
        <f>HYPERLINK("https://www.oit.va.gov/Services/TRM/ToolPage.aspx?tid=5988^","Government Retirement and Benefits (GRB) Assist")</f>
        <v>Government Retirement and Benefits (GRB) Assist</v>
      </c>
      <c r="B3319" s="4" t="s">
        <v>5833</v>
      </c>
      <c r="C3319" s="8" t="s">
        <v>5</v>
      </c>
      <c r="D3319" s="11" t="s">
        <v>5834</v>
      </c>
    </row>
    <row r="3320" spans="1:4" ht="30">
      <c r="A3320" s="5" t="str">
        <f>HYPERLINK("https://www.oit.va.gov/Services/TRM/ToolPage.aspx?tid=13402^","EclipseCrossword")</f>
        <v>EclipseCrossword</v>
      </c>
      <c r="B3320" s="4" t="s">
        <v>7834</v>
      </c>
      <c r="C3320" s="8" t="s">
        <v>5</v>
      </c>
      <c r="D3320" s="11" t="s">
        <v>2113</v>
      </c>
    </row>
    <row r="3321" spans="1:4" ht="30">
      <c r="A3321" s="5" t="str">
        <f>HYPERLINK("https://www.oit.va.gov/Services/TRM/ToolPage.aspx?tid=7228^","Green`s Medical Symptom Validity Test (MSVT)")</f>
        <v>Green`s Medical Symptom Validity Test (MSVT)</v>
      </c>
      <c r="B3321" s="4" t="s">
        <v>5836</v>
      </c>
      <c r="C3321" s="8" t="s">
        <v>5</v>
      </c>
      <c r="D3321" s="11" t="s">
        <v>1284</v>
      </c>
    </row>
    <row r="3322" spans="1:4" ht="30">
      <c r="A3322" s="5" t="str">
        <f>HYPERLINK("https://www.oit.va.gov/Services/TRM/ToolPage.aspx?tid=7190^","Green`s Test Platform (GTP)")</f>
        <v>Green`s Test Platform (GTP)</v>
      </c>
      <c r="B3322" s="4" t="s">
        <v>5836</v>
      </c>
      <c r="C3322" s="8" t="s">
        <v>5</v>
      </c>
      <c r="D3322" s="11" t="s">
        <v>5837</v>
      </c>
    </row>
    <row r="3323" spans="1:4" ht="30">
      <c r="A3323" s="5" t="str">
        <f>HYPERLINK("https://www.oit.va.gov/Services/TRM/ToolPage.aspx?tid=14570^","Green’s Advanced Interpretation (AI) Program")</f>
        <v>Green’s Advanced Interpretation (AI) Program</v>
      </c>
      <c r="B3323" s="4" t="s">
        <v>5836</v>
      </c>
      <c r="C3323" s="8" t="s">
        <v>5</v>
      </c>
      <c r="D3323" s="11" t="s">
        <v>5838</v>
      </c>
    </row>
    <row r="3324" spans="1:4" ht="30">
      <c r="A3324" s="5" t="str">
        <f>HYPERLINK("https://www.oit.va.gov/Services/TRM/ToolPage.aspx?tid=9026^","Nonverbal Medical Symptom Validity Test (NV-MSVT)")</f>
        <v>Nonverbal Medical Symptom Validity Test (NV-MSVT)</v>
      </c>
      <c r="B3324" s="4" t="s">
        <v>5836</v>
      </c>
      <c r="C3324" s="8" t="s">
        <v>5</v>
      </c>
      <c r="D3324" s="11" t="s">
        <v>5969</v>
      </c>
    </row>
    <row r="3325" spans="1:4" ht="30">
      <c r="A3325" s="5" t="str">
        <f>HYPERLINK("https://www.oit.va.gov/Services/TRM/ToolPage.aspx?tid=8194^","Memory Complaints Inventory (MCI)")</f>
        <v>Memory Complaints Inventory (MCI)</v>
      </c>
      <c r="B3325" s="4" t="s">
        <v>5836</v>
      </c>
      <c r="C3325" s="8" t="s">
        <v>5</v>
      </c>
      <c r="D3325" s="11" t="s">
        <v>8246</v>
      </c>
    </row>
    <row r="3326" spans="1:4" ht="30">
      <c r="A3326" s="5" t="str">
        <f>HYPERLINK("https://www.oit.va.gov/Services/TRM/ToolPage.aspx?tid=11155^","Greenshot")</f>
        <v>Greenshot</v>
      </c>
      <c r="B3326" s="4" t="s">
        <v>6669</v>
      </c>
      <c r="C3326" s="8" t="s">
        <v>5</v>
      </c>
      <c r="D3326" s="11" t="s">
        <v>6670</v>
      </c>
    </row>
    <row r="3327" spans="1:4" ht="30">
      <c r="A3327" s="5" t="str">
        <f>HYPERLINK("https://www.oit.va.gov/Services/TRM/ToolPage.aspx?tid=14577^","libpng")</f>
        <v>libpng</v>
      </c>
      <c r="B3327" s="4" t="s">
        <v>6784</v>
      </c>
      <c r="C3327" s="8" t="s">
        <v>5</v>
      </c>
      <c r="D3327" s="11" t="s">
        <v>1116</v>
      </c>
    </row>
    <row r="3328" spans="1:4" ht="30">
      <c r="A3328" s="5" t="str">
        <f>HYPERLINK("https://www.oit.va.gov/Services/TRM/ToolPage.aspx?tid=13592^","NET232 Plus Installer")</f>
        <v>NET232 Plus Installer</v>
      </c>
      <c r="B3328" s="4" t="s">
        <v>8318</v>
      </c>
      <c r="C3328" s="8" t="s">
        <v>5</v>
      </c>
      <c r="D3328" s="11" t="s">
        <v>8319</v>
      </c>
    </row>
    <row r="3329" spans="1:4" ht="30">
      <c r="A3329" s="5" t="str">
        <f>HYPERLINK("https://www.oit.va.gov/Services/TRM/ToolPage.aspx?tid=8597^","Request Management for Windows Azure Pack (WAP)")</f>
        <v>Request Management for Windows Azure Pack (WAP)</v>
      </c>
      <c r="B3329" s="4" t="s">
        <v>3486</v>
      </c>
      <c r="C3329" s="8" t="s">
        <v>5</v>
      </c>
      <c r="D3329" s="11" t="s">
        <v>3487</v>
      </c>
    </row>
    <row r="3330" spans="1:4" ht="30">
      <c r="A3330" s="5" t="str">
        <f>HYPERLINK("https://www.oit.va.gov/Services/TRM/ToolPage.aspx?tid=9669^","Insurance Actuarial Evaluation")</f>
        <v>Insurance Actuarial Evaluation</v>
      </c>
      <c r="B3330" s="4" t="s">
        <v>8090</v>
      </c>
      <c r="C3330" s="8" t="s">
        <v>5</v>
      </c>
      <c r="D3330" s="11" t="s">
        <v>3924</v>
      </c>
    </row>
    <row r="3331" spans="1:4" ht="30">
      <c r="A3331" s="5" t="str">
        <f>HYPERLINK("https://www.oit.va.gov/Services/TRM/ToolPage.aspx?tid=14286^","Compare It")</f>
        <v>Compare It</v>
      </c>
      <c r="B3331" s="4" t="s">
        <v>7684</v>
      </c>
      <c r="C3331" s="8" t="s">
        <v>5</v>
      </c>
      <c r="D3331" s="11" t="s">
        <v>2220</v>
      </c>
    </row>
    <row r="3332" spans="1:4" ht="30">
      <c r="A3332" s="5" t="str">
        <f>HYPERLINK("https://www.oit.va.gov/Services/TRM/ToolPage.aspx?tid=15860^","Snipe-IT")</f>
        <v>Snipe-IT</v>
      </c>
      <c r="B3332" s="4" t="s">
        <v>1940</v>
      </c>
      <c r="C3332" s="8" t="s">
        <v>5</v>
      </c>
      <c r="D3332" s="11" t="s">
        <v>1703</v>
      </c>
    </row>
    <row r="3333" spans="1:4" ht="30">
      <c r="A3333" s="5" t="str">
        <f>HYPERLINK("https://www.oit.va.gov/Services/TRM/ToolPage.aspx?tid=16804^","Weatherbug")</f>
        <v>Weatherbug</v>
      </c>
      <c r="B3333" s="4" t="s">
        <v>7312</v>
      </c>
      <c r="C3333" s="8" t="s">
        <v>5</v>
      </c>
      <c r="D3333" s="11" t="s">
        <v>679</v>
      </c>
    </row>
    <row r="3334" spans="1:4" ht="30">
      <c r="A3334" s="5" t="str">
        <f>HYPERLINK("https://www.oit.va.gov/Services/TRM/ToolPage.aspx?tid=6351^","GroundWork Monitor")</f>
        <v>GroundWork Monitor</v>
      </c>
      <c r="B3334" s="4" t="s">
        <v>5220</v>
      </c>
      <c r="C3334" s="8" t="s">
        <v>5</v>
      </c>
      <c r="D3334" s="11" t="s">
        <v>5221</v>
      </c>
    </row>
    <row r="3335" spans="1:4" ht="30">
      <c r="A3335" s="5" t="str">
        <f>HYPERLINK("https://www.oit.va.gov/Services/TRM/ToolPage.aspx?tid=16694^","Terragrunt")</f>
        <v>Terragrunt</v>
      </c>
      <c r="B3335" s="4" t="s">
        <v>4899</v>
      </c>
      <c r="C3335" s="8" t="s">
        <v>5</v>
      </c>
      <c r="D3335" s="11" t="s">
        <v>4900</v>
      </c>
    </row>
    <row r="3336" spans="1:4" ht="30">
      <c r="A3336" s="5" t="str">
        <f>HYPERLINK("https://www.oit.va.gov/Services/TRM/StandardPage.aspx?tid=5251^","European Article Number (EAN-13)")</f>
        <v>European Article Number (EAN-13)</v>
      </c>
      <c r="B3336" s="4" t="s">
        <v>5801</v>
      </c>
      <c r="C3336" s="8" t="s">
        <v>5</v>
      </c>
      <c r="D3336" s="11" t="s">
        <v>5802</v>
      </c>
    </row>
    <row r="3337" spans="1:4" ht="30">
      <c r="A3337" s="5" t="str">
        <f>HYPERLINK("https://www.oit.va.gov/Services/TRM/ToolPage.aspx?tid=15368^","Guldmann Service and Information Console")</f>
        <v>Guldmann Service and Information Console</v>
      </c>
      <c r="B3337" s="4" t="s">
        <v>1586</v>
      </c>
      <c r="C3337" s="8" t="s">
        <v>5</v>
      </c>
      <c r="D3337" s="11" t="s">
        <v>1587</v>
      </c>
    </row>
    <row r="3338" spans="1:4" ht="30">
      <c r="A3338" s="5" t="str">
        <f>HYPERLINK("https://www.oit.va.gov/Services/TRM/ToolPage.aspx?tid=8255^","Gulp")</f>
        <v>Gulp</v>
      </c>
      <c r="B3338" s="4" t="s">
        <v>8005</v>
      </c>
      <c r="C3338" s="8" t="s">
        <v>5</v>
      </c>
      <c r="D3338" s="11" t="s">
        <v>879</v>
      </c>
    </row>
    <row r="3339" spans="1:4" ht="30">
      <c r="A3339" s="5" t="str">
        <f>HYPERLINK("https://www.oit.va.gov/Services/TRM/ToolPage.aspx?tid=13929^","GuruSquad (GS) RichCopy 360")</f>
        <v>GuruSquad (GS) RichCopy 360</v>
      </c>
      <c r="B3339" s="4" t="s">
        <v>6675</v>
      </c>
      <c r="C3339" s="8" t="s">
        <v>5</v>
      </c>
      <c r="D3339" s="11" t="s">
        <v>6676</v>
      </c>
    </row>
    <row r="3340" spans="1:4" ht="30">
      <c r="A3340" s="5" t="str">
        <f>HYPERLINK("https://www.oit.va.gov/Services/TRM/ToolPage.aspx?tid=14154^","MotionTools")</f>
        <v>MotionTools</v>
      </c>
      <c r="B3340" s="4" t="s">
        <v>8279</v>
      </c>
      <c r="C3340" s="8" t="s">
        <v>5</v>
      </c>
      <c r="D3340" s="11" t="s">
        <v>1307</v>
      </c>
    </row>
    <row r="3341" spans="1:4" ht="30">
      <c r="A3341" s="5" t="str">
        <f>HYPERLINK("https://www.oit.va.gov/Services/TRM/ToolPage.aspx?tid=11205^","RZDCX Development Package")</f>
        <v>RZDCX Development Package</v>
      </c>
      <c r="B3341" s="4" t="s">
        <v>3499</v>
      </c>
      <c r="C3341" s="8" t="s">
        <v>5</v>
      </c>
      <c r="D3341" s="11" t="s">
        <v>3480</v>
      </c>
    </row>
    <row r="3342" spans="1:4" ht="30">
      <c r="A3342" s="5" t="str">
        <f>HYPERLINK("https://www.oit.va.gov/Services/TRM/ToolPage.aspx?tid=12950^","Hypertext Markup Language 5 (H5P) Plugin for Moodle")</f>
        <v>Hypertext Markup Language 5 (H5P) Plugin for Moodle</v>
      </c>
      <c r="B3342" s="4" t="s">
        <v>4239</v>
      </c>
      <c r="C3342" s="8" t="s">
        <v>5</v>
      </c>
      <c r="D3342" s="11" t="s">
        <v>4240</v>
      </c>
    </row>
    <row r="3343" spans="1:4" ht="30">
      <c r="A3343" s="5" t="str">
        <f>HYPERLINK("https://www.oit.va.gov/Services/TRM/ToolPage.aspx?tid=10315^","EyeSuite Software")</f>
        <v>EyeSuite Software</v>
      </c>
      <c r="B3343" s="4" t="s">
        <v>2580</v>
      </c>
      <c r="C3343" s="8" t="s">
        <v>5</v>
      </c>
      <c r="D3343" s="11" t="s">
        <v>2581</v>
      </c>
    </row>
    <row r="3344" spans="1:4" ht="30">
      <c r="A3344" s="5" t="str">
        <f>HYPERLINK("https://www.oit.va.gov/Services/TRM/ToolPage.aspx?tid=15206^","TEG Manager")</f>
        <v>TEG Manager</v>
      </c>
      <c r="B3344" s="4" t="s">
        <v>3017</v>
      </c>
      <c r="C3344" s="8" t="s">
        <v>5</v>
      </c>
      <c r="D3344" s="11" t="s">
        <v>1386</v>
      </c>
    </row>
    <row r="3345" spans="1:4" ht="30">
      <c r="A3345" s="5" t="str">
        <f>HYPERLINK("https://www.oit.va.gov/Services/TRM/ToolPage.aspx?tid=14901^","BloodTrack Manager")</f>
        <v>BloodTrack Manager</v>
      </c>
      <c r="B3345" s="4" t="s">
        <v>3017</v>
      </c>
      <c r="C3345" s="8" t="s">
        <v>5</v>
      </c>
      <c r="D3345" s="11" t="s">
        <v>26</v>
      </c>
    </row>
    <row r="3346" spans="1:4" ht="30">
      <c r="A3346" s="5" t="str">
        <f>HYPERLINK("https://www.oit.va.gov/Services/TRM/ToolPage.aspx?tid=16805^","HAIVision Helper")</f>
        <v>HAIVision Helper</v>
      </c>
      <c r="B3346" s="4" t="s">
        <v>128</v>
      </c>
      <c r="C3346" s="8" t="s">
        <v>5</v>
      </c>
      <c r="D3346" s="11" t="s">
        <v>129</v>
      </c>
    </row>
    <row r="3347" spans="1:4" ht="30">
      <c r="A3347" s="5" t="str">
        <f>HYPERLINK("https://www.oit.va.gov/Services/TRM/ToolPage.aspx?tid=10059^","Command 360")</f>
        <v>Command 360</v>
      </c>
      <c r="B3347" s="4" t="s">
        <v>128</v>
      </c>
      <c r="C3347" s="8" t="s">
        <v>5</v>
      </c>
      <c r="D3347" s="11" t="s">
        <v>3950</v>
      </c>
    </row>
    <row r="3348" spans="1:4" ht="30">
      <c r="A3348" s="5" t="str">
        <f>HYPERLINK("https://www.oit.va.gov/Services/TRM/ToolPage.aspx?tid=13078^","CoolSign")</f>
        <v>CoolSign</v>
      </c>
      <c r="B3348" s="4" t="s">
        <v>128</v>
      </c>
      <c r="C3348" s="8" t="s">
        <v>5</v>
      </c>
      <c r="D3348" s="11" t="s">
        <v>7704</v>
      </c>
    </row>
    <row r="3349" spans="1:4" ht="30">
      <c r="A3349" s="5" t="str">
        <f>HYPERLINK("https://www.oit.va.gov/Services/TRM/ToolPage.aspx?tid=14841^","ORLocate Sponge Solution")</f>
        <v>ORLocate Sponge Solution</v>
      </c>
      <c r="B3349" s="4" t="s">
        <v>8377</v>
      </c>
      <c r="C3349" s="8" t="s">
        <v>5</v>
      </c>
      <c r="D3349" s="11" t="s">
        <v>7047</v>
      </c>
    </row>
    <row r="3350" spans="1:4" ht="30">
      <c r="A3350" s="5" t="str">
        <f>HYPERLINK("https://www.oit.va.gov/Services/TRM/ToolPage.aspx?tid=10071^","Hot Potatoes")</f>
        <v>Hot Potatoes</v>
      </c>
      <c r="B3350" s="4" t="s">
        <v>5232</v>
      </c>
      <c r="C3350" s="8" t="s">
        <v>5</v>
      </c>
      <c r="D3350" s="11" t="s">
        <v>3335</v>
      </c>
    </row>
    <row r="3351" spans="1:4" ht="30">
      <c r="A3351" s="5" t="str">
        <f>HYPERLINK("https://www.oit.va.gov/Services/TRM/ToolPage.aspx?tid=13243^","Ham Radio Deluxe (HRD)")</f>
        <v>Ham Radio Deluxe (HRD)</v>
      </c>
      <c r="B3351" s="4" t="s">
        <v>4203</v>
      </c>
      <c r="C3351" s="8" t="s">
        <v>5</v>
      </c>
      <c r="D3351" s="11" t="s">
        <v>1569</v>
      </c>
    </row>
    <row r="3352" spans="1:4" ht="30">
      <c r="A3352" s="5" t="str">
        <f>HYPERLINK("https://www.oit.va.gov/Services/TRM/ToolPage.aspx?tid=9041^","Hamcrest")</f>
        <v>Hamcrest</v>
      </c>
      <c r="B3352" s="4" t="s">
        <v>8011</v>
      </c>
      <c r="C3352" s="8" t="s">
        <v>5</v>
      </c>
      <c r="D3352" s="11" t="s">
        <v>3506</v>
      </c>
    </row>
    <row r="3353" spans="1:4" ht="30">
      <c r="A3353" s="5" t="str">
        <f>HYPERLINK("https://www.oit.va.gov/Services/TRM/ToolPage.aspx?tid=12939^","VENUS")</f>
        <v>VENUS</v>
      </c>
      <c r="B3353" s="4" t="s">
        <v>3609</v>
      </c>
      <c r="C3353" s="8" t="s">
        <v>5</v>
      </c>
      <c r="D3353" s="11" t="s">
        <v>3610</v>
      </c>
    </row>
    <row r="3354" spans="1:4" ht="30">
      <c r="A3354" s="5" t="str">
        <f>HYPERLINK("https://www.oit.va.gov/Services/TRM/ToolPage.aspx?tid=7196^","OneSight")</f>
        <v>OneSight</v>
      </c>
      <c r="B3354" s="4" t="s">
        <v>5394</v>
      </c>
      <c r="C3354" s="8" t="s">
        <v>5</v>
      </c>
      <c r="D3354" s="11" t="s">
        <v>5395</v>
      </c>
    </row>
    <row r="3355" spans="1:4" ht="30">
      <c r="A3355" s="5" t="str">
        <f>HYPERLINK("https://www.oit.va.gov/Services/TRM/ToolPage.aspx?tid=10656^","HammerDB")</f>
        <v>HammerDB</v>
      </c>
      <c r="B3355" s="4" t="s">
        <v>3663</v>
      </c>
      <c r="C3355" s="8" t="s">
        <v>5</v>
      </c>
      <c r="D3355" s="11" t="s">
        <v>1915</v>
      </c>
    </row>
    <row r="3356" spans="1:4" ht="30">
      <c r="A3356" s="5" t="str">
        <f>HYPERLINK("https://www.oit.va.gov/Services/TRM/ToolPage.aspx?tid=14466^","VueScan")</f>
        <v>VueScan</v>
      </c>
      <c r="B3356" s="4" t="s">
        <v>8896</v>
      </c>
      <c r="C3356" s="8" t="s">
        <v>5</v>
      </c>
      <c r="D3356" s="11" t="s">
        <v>8897</v>
      </c>
    </row>
    <row r="3357" spans="1:4" ht="30">
      <c r="A3357" s="5" t="str">
        <f>HYPERLINK("https://www.oit.va.gov/Services/TRM/ToolPage.aspx?tid=16303^","HandBrake - Open source video transcoder")</f>
        <v>HandBrake - Open source video transcoder</v>
      </c>
      <c r="B3357" s="4" t="s">
        <v>6677</v>
      </c>
      <c r="C3357" s="8" t="s">
        <v>5</v>
      </c>
      <c r="D3357" s="11" t="s">
        <v>6678</v>
      </c>
    </row>
    <row r="3358" spans="1:4" ht="30">
      <c r="A3358" s="5" t="str">
        <f>HYPERLINK("https://www.oit.va.gov/Services/TRM/ToolPage.aspx?tid=9391^","Psychrometric Analysis")</f>
        <v>Psychrometric Analysis</v>
      </c>
      <c r="B3358" s="4" t="s">
        <v>5451</v>
      </c>
      <c r="C3358" s="8" t="s">
        <v>5</v>
      </c>
      <c r="D3358" s="11" t="s">
        <v>5452</v>
      </c>
    </row>
    <row r="3359" spans="1:4" ht="30">
      <c r="A3359" s="5" t="str">
        <f>HYPERLINK("https://www.oit.va.gov/Services/TRM/ToolPage.aspx?tid=10616^","HanelSoft Inventory Management System")</f>
        <v>HanelSoft Inventory Management System</v>
      </c>
      <c r="B3359" s="4" t="s">
        <v>1589</v>
      </c>
      <c r="C3359" s="8" t="s">
        <v>5</v>
      </c>
      <c r="D3359" s="11" t="s">
        <v>1590</v>
      </c>
    </row>
    <row r="3360" spans="1:4" ht="30">
      <c r="A3360" s="5" t="str">
        <f>HYPERLINK("https://www.oit.va.gov/Services/TRM/ToolPage.aspx?tid=10084^","WalkAnalyst")</f>
        <v>WalkAnalyst</v>
      </c>
      <c r="B3360" s="4" t="s">
        <v>2048</v>
      </c>
      <c r="C3360" s="8" t="s">
        <v>5</v>
      </c>
      <c r="D3360" s="11" t="s">
        <v>2049</v>
      </c>
    </row>
    <row r="3361" spans="1:4" ht="30">
      <c r="A3361" s="5" t="str">
        <f>HYPERLINK("https://www.oit.va.gov/Services/TRM/ToolPage.aspx?tid=7409^","Spirometry Training Display Software")</f>
        <v>Spirometry Training Display Software</v>
      </c>
      <c r="B3361" s="4" t="s">
        <v>7167</v>
      </c>
      <c r="C3361" s="8" t="s">
        <v>5</v>
      </c>
      <c r="D3361" s="11" t="s">
        <v>7168</v>
      </c>
    </row>
    <row r="3362" spans="1:4" ht="30">
      <c r="A3362" s="5" t="str">
        <f>HYPERLINK("https://www.oit.va.gov/Services/TRM/ToolPage.aspx?tid=10092^","EZUpload")</f>
        <v>EZUpload</v>
      </c>
      <c r="B3362" s="4" t="s">
        <v>7167</v>
      </c>
      <c r="C3362" s="8" t="s">
        <v>5</v>
      </c>
      <c r="D3362" s="11" t="s">
        <v>7907</v>
      </c>
    </row>
    <row r="3363" spans="1:4" ht="30">
      <c r="A3363" s="5" t="str">
        <f>HYPERLINK("https://www.oit.va.gov/Services/TRM/ToolPage.aspx?tid=13898^","Oxygraph Plus")</f>
        <v>Oxygraph Plus</v>
      </c>
      <c r="B3363" s="4" t="s">
        <v>8379</v>
      </c>
      <c r="C3363" s="8" t="s">
        <v>5</v>
      </c>
      <c r="D3363" s="11" t="s">
        <v>8380</v>
      </c>
    </row>
    <row r="3364" spans="1:4" ht="30">
      <c r="A3364" s="5" t="str">
        <f>HYPERLINK("https://www.oit.va.gov/Services/TRM/ToolPage.aspx?tid=10475^","HAProxy")</f>
        <v>HAProxy</v>
      </c>
      <c r="B3364" s="4" t="s">
        <v>4205</v>
      </c>
      <c r="C3364" s="8" t="s">
        <v>5</v>
      </c>
      <c r="D3364" s="11" t="s">
        <v>4206</v>
      </c>
    </row>
    <row r="3365" spans="1:4" ht="30">
      <c r="A3365" s="5" t="str">
        <f>HYPERLINK("https://www.oit.va.gov/Services/TRM/ToolPage.aspx?tid=9263^","HarePoint Workflow Scheduler")</f>
        <v>HarePoint Workflow Scheduler</v>
      </c>
      <c r="B3365" s="4" t="s">
        <v>6681</v>
      </c>
      <c r="C3365" s="8" t="s">
        <v>5</v>
      </c>
      <c r="D3365" s="11" t="s">
        <v>6682</v>
      </c>
    </row>
    <row r="3366" spans="1:4" ht="30">
      <c r="A3366" s="5" t="str">
        <f>HYPERLINK("https://www.oit.va.gov/Services/TRM/ToolPage.aspx?tid=5520^","Adobe Integrated Runtime (AIR)")</f>
        <v>Adobe Integrated Runtime (AIR)</v>
      </c>
      <c r="B3366" s="4" t="s">
        <v>3712</v>
      </c>
      <c r="C3366" s="8" t="s">
        <v>5</v>
      </c>
      <c r="D3366" s="11" t="s">
        <v>1429</v>
      </c>
    </row>
    <row r="3367" spans="1:4" ht="30">
      <c r="A3367" s="5" t="str">
        <f>HYPERLINK("https://www.oit.va.gov/Services/TRM/ToolPage.aspx?tid=6577^","Harman mDeliver")</f>
        <v>Harman mDeliver</v>
      </c>
      <c r="B3367" s="4" t="s">
        <v>3712</v>
      </c>
      <c r="C3367" s="8" t="s">
        <v>5</v>
      </c>
      <c r="D3367" s="11" t="s">
        <v>3302</v>
      </c>
    </row>
    <row r="3368" spans="1:4" ht="30">
      <c r="A3368" s="5" t="str">
        <f>HYPERLINK("https://www.oit.va.gov/Services/TRM/ToolPage.aspx?tid=6965^","harmon.ie for Outlook")</f>
        <v>harmon.ie for Outlook</v>
      </c>
      <c r="B3368" s="4" t="s">
        <v>415</v>
      </c>
      <c r="C3368" s="8" t="s">
        <v>5</v>
      </c>
      <c r="D3368" s="11" t="s">
        <v>416</v>
      </c>
    </row>
    <row r="3369" spans="1:4" ht="30">
      <c r="A3369" s="5" t="str">
        <f>HYPERLINK("https://www.oit.va.gov/Services/TRM/ToolPage.aspx?tid=15978^","Harness")</f>
        <v>Harness</v>
      </c>
      <c r="B3369" s="4" t="s">
        <v>1591</v>
      </c>
      <c r="C3369" s="8" t="s">
        <v>5</v>
      </c>
      <c r="D3369" s="11" t="s">
        <v>1365</v>
      </c>
    </row>
    <row r="3370" spans="1:4" ht="30">
      <c r="A3370" s="5" t="str">
        <f>HYPERLINK("https://www.oit.va.gov/Services/TRM/ToolPage.aspx?tid=10027^","Radio Personality Manager (RPM)")</f>
        <v>Radio Personality Manager (RPM)</v>
      </c>
      <c r="B3370" s="4" t="s">
        <v>7062</v>
      </c>
      <c r="C3370" s="8" t="s">
        <v>5</v>
      </c>
      <c r="D3370" s="11" t="s">
        <v>6800</v>
      </c>
    </row>
    <row r="3371" spans="1:4" ht="30">
      <c r="A3371" s="5" t="str">
        <f>HYPERLINK("https://www.oit.va.gov/Services/TRM/ToolPage.aspx?tid=8079^","ED PulseCheck")</f>
        <v>ED PulseCheck</v>
      </c>
      <c r="B3371" s="4" t="s">
        <v>7835</v>
      </c>
      <c r="C3371" s="8" t="s">
        <v>5</v>
      </c>
      <c r="D3371" s="11" t="s">
        <v>6405</v>
      </c>
    </row>
    <row r="3372" spans="1:4" ht="30">
      <c r="A3372" s="5" t="str">
        <f>HYPERLINK("https://www.oit.va.gov/Services/TRM/ToolPage.aspx?tid=13760^","Foreign Keycloak Wrapper")</f>
        <v>Foreign Keycloak Wrapper</v>
      </c>
      <c r="B3372" s="4" t="s">
        <v>4148</v>
      </c>
      <c r="C3372" s="8" t="s">
        <v>5</v>
      </c>
      <c r="D3372" s="11" t="s">
        <v>4149</v>
      </c>
    </row>
    <row r="3373" spans="1:4" ht="30">
      <c r="A3373" s="5" t="str">
        <f>HYPERLINK("https://www.oit.va.gov/Services/TRM/ToolPage.aspx?tid=9695^","J-Say")</f>
        <v>J-Say</v>
      </c>
      <c r="B3373" s="4" t="s">
        <v>5898</v>
      </c>
      <c r="C3373" s="8" t="s">
        <v>5</v>
      </c>
      <c r="D3373" s="11" t="s">
        <v>5321</v>
      </c>
    </row>
    <row r="3374" spans="1:4" ht="30">
      <c r="A3374" s="5" t="str">
        <f>HYPERLINK("https://www.oit.va.gov/Services/TRM/ToolPage.aspx?tid=16427^","gPLINK")</f>
        <v>gPLINK</v>
      </c>
      <c r="B3374" s="4" t="s">
        <v>4192</v>
      </c>
      <c r="C3374" s="8" t="s">
        <v>5</v>
      </c>
      <c r="D3374" s="11" t="s">
        <v>4193</v>
      </c>
    </row>
    <row r="3375" spans="1:4" ht="30">
      <c r="A3375" s="5" t="str">
        <f>HYPERLINK("https://www.oit.va.gov/Services/TRM/ToolPage.aspx?tid=14176^","Canary")</f>
        <v>Canary</v>
      </c>
      <c r="B3375" s="4" t="s">
        <v>4192</v>
      </c>
      <c r="C3375" s="8" t="s">
        <v>5</v>
      </c>
      <c r="D3375" s="11" t="s">
        <v>5727</v>
      </c>
    </row>
    <row r="3376" spans="1:4" ht="30">
      <c r="A3376" s="5" t="str">
        <f>HYPERLINK("https://www.oit.va.gov/Services/TRM/ToolPage.aspx?tid=7949^","Zelig")</f>
        <v>Zelig</v>
      </c>
      <c r="B3376" s="4" t="s">
        <v>8977</v>
      </c>
      <c r="C3376" s="8" t="s">
        <v>5</v>
      </c>
      <c r="D3376" s="11" t="s">
        <v>8978</v>
      </c>
    </row>
    <row r="3377" spans="1:4" ht="30">
      <c r="A3377" s="5" t="str">
        <f>HYPERLINK("https://www.oit.va.gov/Services/TRM/ToolPage.aspx?tid=12975^","Publish or Perish")</f>
        <v>Publish or Perish</v>
      </c>
      <c r="B3377" s="4" t="s">
        <v>8496</v>
      </c>
      <c r="C3377" s="8" t="s">
        <v>5</v>
      </c>
      <c r="D3377" s="11" t="s">
        <v>2935</v>
      </c>
    </row>
    <row r="3378" spans="1:4" ht="30">
      <c r="A3378" s="5" t="str">
        <f>HYPERLINK("https://www.oit.va.gov/Services/TRM/ToolPage.aspx?tid=11561^","Terraform")</f>
        <v>Terraform</v>
      </c>
      <c r="B3378" s="4" t="s">
        <v>3021</v>
      </c>
      <c r="C3378" s="8" t="s">
        <v>5</v>
      </c>
      <c r="D3378" s="11" t="s">
        <v>3022</v>
      </c>
    </row>
    <row r="3379" spans="1:4" ht="30">
      <c r="A3379" s="5" t="str">
        <f>HYPERLINK("https://www.oit.va.gov/Services/TRM/ToolPage.aspx?tid=7306^","Vagrant")</f>
        <v>Vagrant</v>
      </c>
      <c r="B3379" s="4" t="s">
        <v>3021</v>
      </c>
      <c r="C3379" s="8" t="s">
        <v>5</v>
      </c>
      <c r="D3379" s="11" t="s">
        <v>437</v>
      </c>
    </row>
    <row r="3380" spans="1:4" ht="30">
      <c r="A3380" s="5" t="str">
        <f>HYPERLINK("https://www.oit.va.gov/Services/TRM/ToolPage.aspx?tid=9895^","Consul")</f>
        <v>Consul</v>
      </c>
      <c r="B3380" s="4" t="s">
        <v>3021</v>
      </c>
      <c r="C3380" s="8" t="s">
        <v>5</v>
      </c>
      <c r="D3380" s="11" t="s">
        <v>2359</v>
      </c>
    </row>
    <row r="3381" spans="1:4" ht="30">
      <c r="A3381" s="5" t="str">
        <f>HYPERLINK("https://www.oit.va.gov/Services/TRM/ToolPage.aspx?tid=15748^","Envconsul")</f>
        <v>Envconsul</v>
      </c>
      <c r="B3381" s="4" t="s">
        <v>3021</v>
      </c>
      <c r="C3381" s="8" t="s">
        <v>5</v>
      </c>
      <c r="D3381" s="11" t="s">
        <v>4102</v>
      </c>
    </row>
    <row r="3382" spans="1:4" ht="30">
      <c r="A3382" s="5" t="str">
        <f>HYPERLINK("https://www.oit.va.gov/Services/TRM/ToolPage.aspx?tid=14123^","Packer")</f>
        <v>Packer</v>
      </c>
      <c r="B3382" s="4" t="s">
        <v>3021</v>
      </c>
      <c r="C3382" s="8" t="s">
        <v>5</v>
      </c>
      <c r="D3382" s="11" t="s">
        <v>3057</v>
      </c>
    </row>
    <row r="3383" spans="1:4" ht="30">
      <c r="A3383" s="5" t="str">
        <f>HYPERLINK("https://www.oit.va.gov/Services/TRM/ToolPage.aspx?tid=16675^","Terraform Enterprise")</f>
        <v>Terraform Enterprise</v>
      </c>
      <c r="B3383" s="4" t="s">
        <v>3021</v>
      </c>
      <c r="C3383" s="8" t="s">
        <v>5</v>
      </c>
      <c r="D3383" s="11" t="s">
        <v>4898</v>
      </c>
    </row>
    <row r="3384" spans="1:4" ht="30">
      <c r="A3384" s="5" t="str">
        <f>HYPERLINK("https://www.oit.va.gov/Services/TRM/ToolPage.aspx?tid=15796^","Consul-Template")</f>
        <v>Consul-Template</v>
      </c>
      <c r="B3384" s="4" t="s">
        <v>3021</v>
      </c>
      <c r="C3384" s="8" t="s">
        <v>5</v>
      </c>
      <c r="D3384" s="11" t="s">
        <v>6453</v>
      </c>
    </row>
    <row r="3385" spans="1:4" ht="30">
      <c r="A3385" s="5" t="str">
        <f>HYPERLINK("https://www.oit.va.gov/Services/TRM/ToolPage.aspx?tid=14283^","WinTV")</f>
        <v>WinTV</v>
      </c>
      <c r="B3385" s="4" t="s">
        <v>8940</v>
      </c>
      <c r="C3385" s="8" t="s">
        <v>5</v>
      </c>
      <c r="D3385" s="11" t="s">
        <v>8941</v>
      </c>
    </row>
    <row r="3386" spans="1:4" ht="30">
      <c r="A3386" s="5" t="str">
        <f>HYPERLINK("https://www.oit.va.gov/Services/TRM/ToolPage.aspx?tid=8685^","Hazelcast In-Memory Data Grid (IMDG)")</f>
        <v>Hazelcast In-Memory Data Grid (IMDG)</v>
      </c>
      <c r="B3386" s="4" t="s">
        <v>2638</v>
      </c>
      <c r="C3386" s="8" t="s">
        <v>5</v>
      </c>
      <c r="D3386" s="11" t="s">
        <v>343</v>
      </c>
    </row>
    <row r="3387" spans="1:4" ht="30">
      <c r="A3387" s="5" t="str">
        <f>HYPERLINK("https://www.oit.va.gov/Services/TRM/ToolPage.aspx?tid=11749^","Simple Mail Transfer Protocol (SMTP) Mail Sender")</f>
        <v>Simple Mail Transfer Protocol (SMTP) Mail Sender</v>
      </c>
      <c r="B3387" s="4" t="s">
        <v>7145</v>
      </c>
      <c r="C3387" s="8" t="s">
        <v>5</v>
      </c>
      <c r="D3387" s="11" t="s">
        <v>7146</v>
      </c>
    </row>
    <row r="3388" spans="1:4" ht="30">
      <c r="A3388" s="5" t="str">
        <f>HYPERLINK("https://www.oit.va.gov/Services/TRM/ToolPage.aspx?tid=14492^","AutoMail")</f>
        <v>AutoMail</v>
      </c>
      <c r="B3388" s="4" t="s">
        <v>6308</v>
      </c>
      <c r="C3388" s="8" t="s">
        <v>5</v>
      </c>
      <c r="D3388" s="11" t="s">
        <v>6309</v>
      </c>
    </row>
    <row r="3389" spans="1:4" ht="30">
      <c r="A3389" s="5" t="str">
        <f>HYPERLINK("https://www.oit.va.gov/Services/TRM/ToolPage.aspx?tid=7376^","HCL Connections")</f>
        <v>HCL Connections</v>
      </c>
      <c r="B3389" s="4" t="s">
        <v>692</v>
      </c>
      <c r="C3389" s="8" t="s">
        <v>5</v>
      </c>
      <c r="D3389" s="11" t="s">
        <v>693</v>
      </c>
    </row>
    <row r="3390" spans="1:4" ht="30">
      <c r="A3390" s="5" t="str">
        <f>HYPERLINK("https://www.oit.va.gov/Services/TRM/ToolPage.aspx?tid=11760^","BigFix Remote Control")</f>
        <v>BigFix Remote Control</v>
      </c>
      <c r="B3390" s="4" t="s">
        <v>692</v>
      </c>
      <c r="C3390" s="8" t="s">
        <v>5</v>
      </c>
      <c r="D3390" s="11" t="s">
        <v>1359</v>
      </c>
    </row>
    <row r="3391" spans="1:4" ht="30">
      <c r="A3391" s="5" t="str">
        <f>HYPERLINK("https://www.oit.va.gov/Services/TRM/ToolPage.aspx?tid=11481^","HCL Notes")</f>
        <v>HCL Notes</v>
      </c>
      <c r="B3391" s="4" t="s">
        <v>692</v>
      </c>
      <c r="C3391" s="8" t="s">
        <v>5</v>
      </c>
      <c r="D3391" s="11" t="s">
        <v>3320</v>
      </c>
    </row>
    <row r="3392" spans="1:4" ht="30">
      <c r="A3392" s="5" t="str">
        <f>HYPERLINK("https://www.oit.va.gov/Services/TRM/ToolPage.aspx?tid=14456^","HCL AppScan Source")</f>
        <v>HCL AppScan Source</v>
      </c>
      <c r="B3392" s="4" t="s">
        <v>692</v>
      </c>
      <c r="C3392" s="8" t="s">
        <v>5</v>
      </c>
      <c r="D3392" s="11" t="s">
        <v>4207</v>
      </c>
    </row>
    <row r="3393" spans="1:4" ht="30">
      <c r="A3393" s="5" t="str">
        <f>HYPERLINK("https://www.oit.va.gov/Services/TRM/ToolPage.aspx?tid=6492^","HCL BigFix")</f>
        <v>HCL BigFix</v>
      </c>
      <c r="B3393" s="4" t="s">
        <v>692</v>
      </c>
      <c r="C3393" s="8" t="s">
        <v>5</v>
      </c>
      <c r="D3393" s="11" t="s">
        <v>4208</v>
      </c>
    </row>
    <row r="3394" spans="1:4" ht="30">
      <c r="A3394" s="5" t="str">
        <f>HYPERLINK("https://www.oit.va.gov/Services/TRM/ToolPage.aspx?tid=9349^","BigFix Session Relevance Tester")</f>
        <v>BigFix Session Relevance Tester</v>
      </c>
      <c r="B3394" s="4" t="s">
        <v>692</v>
      </c>
      <c r="C3394" s="8" t="s">
        <v>5</v>
      </c>
      <c r="D3394" s="11" t="s">
        <v>5071</v>
      </c>
    </row>
    <row r="3395" spans="1:4" ht="30">
      <c r="A3395" s="5" t="str">
        <f>HYPERLINK("https://www.oit.va.gov/Services/TRM/ToolPage.aspx?tid=7342^","HCL Digital Experience")</f>
        <v>HCL Digital Experience</v>
      </c>
      <c r="B3395" s="4" t="s">
        <v>692</v>
      </c>
      <c r="C3395" s="8" t="s">
        <v>5</v>
      </c>
      <c r="D3395" s="11" t="s">
        <v>2630</v>
      </c>
    </row>
    <row r="3396" spans="1:4" ht="30">
      <c r="A3396" s="5" t="str">
        <f>HYPERLINK("https://www.oit.va.gov/Services/TRM/ToolPage.aspx?tid=5999^","IBM Forms Viewer")</f>
        <v>IBM Forms Viewer</v>
      </c>
      <c r="B3396" s="4" t="s">
        <v>692</v>
      </c>
      <c r="C3396" s="8" t="s">
        <v>5</v>
      </c>
      <c r="D3396" s="11" t="s">
        <v>6703</v>
      </c>
    </row>
    <row r="3397" spans="1:4" ht="30">
      <c r="A3397" s="5" t="str">
        <f>HYPERLINK("https://www.oit.va.gov/Services/TRM/ToolPage.aspx?tid=13783^","Enterprise Studio")</f>
        <v>Enterprise Studio</v>
      </c>
      <c r="B3397" s="4" t="s">
        <v>692</v>
      </c>
      <c r="C3397" s="8" t="s">
        <v>5</v>
      </c>
      <c r="D3397" s="11" t="s">
        <v>2875</v>
      </c>
    </row>
    <row r="3398" spans="1:4" ht="30">
      <c r="A3398" s="5" t="str">
        <f>HYPERLINK("https://www.oit.va.gov/Services/TRM/ToolPage.aspx?tid=15791^","Hard Disk Sentinel")</f>
        <v>Hard Disk Sentinel</v>
      </c>
      <c r="B3398" s="4" t="s">
        <v>6679</v>
      </c>
      <c r="C3398" s="8" t="s">
        <v>5</v>
      </c>
      <c r="D3398" s="11" t="s">
        <v>6680</v>
      </c>
    </row>
    <row r="3399" spans="1:4" ht="30">
      <c r="A3399" s="5" t="str">
        <f>HYPERLINK("https://www.oit.va.gov/Services/TRM/ToolPage.aspx?tid=12994^","Photomatix")</f>
        <v>Photomatix</v>
      </c>
      <c r="B3399" s="4" t="s">
        <v>3452</v>
      </c>
      <c r="C3399" s="8" t="s">
        <v>5</v>
      </c>
      <c r="D3399" s="11" t="s">
        <v>1075</v>
      </c>
    </row>
    <row r="3400" spans="1:4" ht="30">
      <c r="A3400" s="5" t="str">
        <f>HYPERLINK("https://www.oit.va.gov/Services/TRM/ToolPage.aspx?tid=16462^","Healenium")</f>
        <v>Healenium</v>
      </c>
      <c r="B3400" s="4" t="s">
        <v>4209</v>
      </c>
      <c r="C3400" s="8" t="s">
        <v>5</v>
      </c>
      <c r="D3400" s="11" t="s">
        <v>4210</v>
      </c>
    </row>
    <row r="3401" spans="1:4" ht="30">
      <c r="A3401" s="5" t="str">
        <f>HYPERLINK("https://www.oit.va.gov/Services/TRM/ToolPage.aspx?tid=6119^","RAT-STATS")</f>
        <v>RAT-STATS</v>
      </c>
      <c r="B3401" s="4" t="s">
        <v>8533</v>
      </c>
      <c r="C3401" s="8" t="s">
        <v>5</v>
      </c>
      <c r="D3401" s="11" t="s">
        <v>8534</v>
      </c>
    </row>
    <row r="3402" spans="1:4" ht="30">
      <c r="A3402" s="5" t="str">
        <f>HYPERLINK("https://www.oit.va.gov/Services/TRM/ToolPage.aspx?tid=6640^","iNexx Platform")</f>
        <v>iNexx Platform</v>
      </c>
      <c r="B3402" s="4" t="s">
        <v>5872</v>
      </c>
      <c r="C3402" s="8" t="s">
        <v>5</v>
      </c>
      <c r="D3402" s="11" t="s">
        <v>5873</v>
      </c>
    </row>
    <row r="3403" spans="1:4" ht="30">
      <c r="A3403" s="5" t="str">
        <f>HYPERLINK("https://www.oit.va.gov/Services/TRM/ToolPage.aspx?tid=6641^","iNexx Referrals")</f>
        <v>iNexx Referrals</v>
      </c>
      <c r="B3403" s="4" t="s">
        <v>5872</v>
      </c>
      <c r="C3403" s="8" t="s">
        <v>5</v>
      </c>
      <c r="D3403" s="11" t="s">
        <v>5873</v>
      </c>
    </row>
    <row r="3404" spans="1:4" ht="30">
      <c r="A3404" s="5" t="str">
        <f>HYPERLINK("https://www.oit.va.gov/Services/TRM/ToolPage.aspx?tid=10515^","Health Financial Systems (HFS) End Stage Renal Disease (ESRD) Medicare Cost Report (MCR) Software")</f>
        <v>Health Financial Systems (HFS) End Stage Renal Disease (ESRD) Medicare Cost Report (MCR) Software</v>
      </c>
      <c r="B3404" s="4" t="s">
        <v>4211</v>
      </c>
      <c r="C3404" s="8" t="s">
        <v>5</v>
      </c>
      <c r="D3404" s="11" t="s">
        <v>4212</v>
      </c>
    </row>
    <row r="3405" spans="1:4" ht="30">
      <c r="A3405" s="5" t="str">
        <f>HYPERLINK("https://www.oit.va.gov/Services/TRM/ToolPage.aspx?tid=9957^","Health Literacy Advisor")</f>
        <v>Health Literacy Advisor</v>
      </c>
      <c r="B3405" s="4" t="s">
        <v>4217</v>
      </c>
      <c r="C3405" s="8" t="s">
        <v>5</v>
      </c>
      <c r="D3405" s="11" t="s">
        <v>1569</v>
      </c>
    </row>
    <row r="3406" spans="1:4" ht="30">
      <c r="A3406" s="5" t="str">
        <f>HYPERLINK("https://www.oit.va.gov/Services/TRM/ToolPage.aspx?tid=8188^","DOMA Imaging Application (DIA)")</f>
        <v>DOMA Imaging Application (DIA)</v>
      </c>
      <c r="B3406" s="4" t="s">
        <v>7789</v>
      </c>
      <c r="C3406" s="8" t="s">
        <v>5</v>
      </c>
      <c r="D3406" s="11" t="s">
        <v>2238</v>
      </c>
    </row>
    <row r="3407" spans="1:4" ht="30">
      <c r="A3407" s="5" t="str">
        <f>HYPERLINK("https://www.oit.va.gov/Services/TRM/ToolPage.aspx?tid=13574^","Cirrhosis Order Set and Clinical Decision Support (CirrODS)")</f>
        <v>Cirrhosis Order Set and Clinical Decision Support (CirrODS)</v>
      </c>
      <c r="B3407" s="4" t="s">
        <v>5705</v>
      </c>
      <c r="C3407" s="8" t="s">
        <v>5</v>
      </c>
      <c r="D3407" s="11" t="s">
        <v>1521</v>
      </c>
    </row>
    <row r="3408" spans="1:4" ht="30">
      <c r="A3408" s="5" t="str">
        <f>HYPERLINK("https://www.oit.va.gov/Services/TRM/ToolPage.aspx?tid=13751^","Data Extractor and Decision Support System (DSS) Enabled Reporting System (DexDERS)")</f>
        <v>Data Extractor and Decision Support System (DSS) Enabled Reporting System (DexDERS)</v>
      </c>
      <c r="B3408" s="4" t="s">
        <v>5705</v>
      </c>
      <c r="C3408" s="8" t="s">
        <v>5</v>
      </c>
      <c r="D3408" s="11" t="s">
        <v>2145</v>
      </c>
    </row>
    <row r="3409" spans="1:4" ht="30">
      <c r="A3409" s="5" t="str">
        <f>HYPERLINK("https://www.oit.va.gov/Services/TRM/ToolPage.aspx?tid=14943^","Operating Room Control (ORControl)")</f>
        <v>Operating Room Control (ORControl)</v>
      </c>
      <c r="B3409" s="4" t="s">
        <v>1804</v>
      </c>
      <c r="C3409" s="8" t="s">
        <v>5</v>
      </c>
      <c r="D3409" s="11" t="s">
        <v>1805</v>
      </c>
    </row>
    <row r="3410" spans="1:4" ht="30">
      <c r="A3410" s="5" t="str">
        <f>HYPERLINK("https://www.oit.va.gov/Services/TRM/ToolPage.aspx?tid=15863^","Claim Insight")</f>
        <v>Claim Insight</v>
      </c>
      <c r="B3410" s="4" t="s">
        <v>3918</v>
      </c>
      <c r="C3410" s="8" t="s">
        <v>5</v>
      </c>
      <c r="D3410" s="11" t="s">
        <v>3919</v>
      </c>
    </row>
    <row r="3411" spans="1:4" ht="30">
      <c r="A3411" s="5" t="str">
        <f>HYPERLINK("https://www.oit.va.gov/Services/TRM/StandardPage.aspx?tid=7114^","Security Content Automation Protocol (SCAP)")</f>
        <v>Security Content Automation Protocol (SCAP)</v>
      </c>
      <c r="B3411" s="4" t="s">
        <v>5501</v>
      </c>
      <c r="C3411" s="8" t="s">
        <v>5</v>
      </c>
      <c r="D3411" s="11" t="s">
        <v>5502</v>
      </c>
    </row>
    <row r="3412" spans="1:4" ht="30">
      <c r="A3412" s="5" t="str">
        <f>HYPERLINK("https://www.oit.va.gov/Services/TRM/StandardPage.aspx?tid=5220^","National Drug Code (NDC)")</f>
        <v>National Drug Code (NDC)</v>
      </c>
      <c r="B3412" s="4" t="s">
        <v>5501</v>
      </c>
      <c r="C3412" s="8" t="s">
        <v>5</v>
      </c>
      <c r="D3412" s="11" t="s">
        <v>5960</v>
      </c>
    </row>
    <row r="3413" spans="1:4" ht="30">
      <c r="A3413" s="5" t="str">
        <f>HYPERLINK("https://www.oit.va.gov/Services/TRM/ToolPage.aspx?tid=194^","Concurrent Versions System (CVS)")</f>
        <v>Concurrent Versions System (CVS)</v>
      </c>
      <c r="B3413" s="4" t="s">
        <v>5501</v>
      </c>
      <c r="C3413" s="8" t="s">
        <v>5</v>
      </c>
      <c r="D3413" s="11" t="s">
        <v>3253</v>
      </c>
    </row>
    <row r="3414" spans="1:4" ht="30">
      <c r="A3414" s="5" t="str">
        <f>HYPERLINK("https://www.oit.va.gov/Services/TRM/ToolPage.aspx?tid=5018^","Lisp-based Intelligent Software Agents (LISA)")</f>
        <v>Lisp-based Intelligent Software Agents (LISA)</v>
      </c>
      <c r="B3414" s="4" t="s">
        <v>5501</v>
      </c>
      <c r="C3414" s="8" t="s">
        <v>5</v>
      </c>
      <c r="D3414" s="11" t="s">
        <v>8182</v>
      </c>
    </row>
    <row r="3415" spans="1:4" ht="30">
      <c r="A3415" s="5" t="str">
        <f>HYPERLINK("https://www.oit.va.gov/Services/TRM/ToolPage.aspx?tid=8472^","HealthE*Pix Camera Assistant with RICOH Image Processing Support (RIPS)")</f>
        <v>HealthE*Pix Camera Assistant with RICOH Image Processing Support (RIPS)</v>
      </c>
      <c r="B3415" s="4" t="s">
        <v>5845</v>
      </c>
      <c r="C3415" s="8" t="s">
        <v>5</v>
      </c>
      <c r="D3415" s="11" t="s">
        <v>1817</v>
      </c>
    </row>
    <row r="3416" spans="1:4" ht="30">
      <c r="A3416" s="5" t="str">
        <f>HYPERLINK("https://www.oit.va.gov/Services/TRM/ToolPage.aspx?tid=11194^","Healthmark Scope Viewer")</f>
        <v>Healthmark Scope Viewer</v>
      </c>
      <c r="B3416" s="4" t="s">
        <v>5848</v>
      </c>
      <c r="C3416" s="8" t="s">
        <v>5</v>
      </c>
      <c r="D3416" s="11" t="s">
        <v>1032</v>
      </c>
    </row>
    <row r="3417" spans="1:4" ht="30">
      <c r="A3417" s="5" t="str">
        <f>HYPERLINK("https://www.oit.va.gov/Services/TRM/ToolPage.aspx?tid=5880^","ANSOS Scheduling Solutions")</f>
        <v>ANSOS Scheduling Solutions</v>
      </c>
      <c r="B3417" s="4" t="s">
        <v>5050</v>
      </c>
      <c r="C3417" s="8" t="s">
        <v>5</v>
      </c>
      <c r="D3417" s="11" t="s">
        <v>19</v>
      </c>
    </row>
    <row r="3418" spans="1:4" ht="30">
      <c r="A3418" s="5" t="str">
        <f>HYPERLINK("https://www.oit.va.gov/Services/TRM/ToolPage.aspx?tid=11696^","HeartFlow Connect")</f>
        <v>HeartFlow Connect</v>
      </c>
      <c r="B3418" s="4" t="s">
        <v>5226</v>
      </c>
      <c r="C3418" s="8" t="s">
        <v>5</v>
      </c>
      <c r="D3418" s="11" t="s">
        <v>5227</v>
      </c>
    </row>
    <row r="3419" spans="1:4" ht="30">
      <c r="A3419" s="5" t="str">
        <f>HYPERLINK("https://www.oit.va.gov/Services/TRM/ToolPage.aspx?tid=6691^","emWave")</f>
        <v>emWave</v>
      </c>
      <c r="B3419" s="4" t="s">
        <v>4088</v>
      </c>
      <c r="C3419" s="8" t="s">
        <v>5</v>
      </c>
      <c r="D3419" s="11" t="s">
        <v>4089</v>
      </c>
    </row>
    <row r="3420" spans="1:4" ht="30">
      <c r="A3420" s="5" t="str">
        <f>HYPERLINK("https://www.oit.va.gov/Services/TRM/ToolPage.aspx?tid=6818^","Local Access Network rev (LANrev)")</f>
        <v>Local Access Network rev (LANrev)</v>
      </c>
      <c r="B3420" s="4" t="s">
        <v>3363</v>
      </c>
      <c r="C3420" s="8" t="s">
        <v>5</v>
      </c>
      <c r="D3420" s="11" t="s">
        <v>3364</v>
      </c>
    </row>
    <row r="3421" spans="1:4" ht="30">
      <c r="A3421" s="5" t="str">
        <f>HYPERLINK("https://www.oit.va.gov/Services/TRM/ToolPage.aspx?tid=10617^","Heidelberg Eye Explorer (HEYEX)")</f>
        <v>Heidelberg Eye Explorer (HEYEX)</v>
      </c>
      <c r="B3421" s="4" t="s">
        <v>417</v>
      </c>
      <c r="C3421" s="8" t="s">
        <v>5</v>
      </c>
      <c r="D3421" s="11" t="s">
        <v>418</v>
      </c>
    </row>
    <row r="3422" spans="1:4" ht="30">
      <c r="A3422" s="5" t="str">
        <f>HYPERLINK("https://www.oit.va.gov/Services/TRM/ToolPage.aspx?tid=8028^","Spectralis Optical Coherence Tomography (OCT)")</f>
        <v>Spectralis Optical Coherence Tomography (OCT)</v>
      </c>
      <c r="B3422" s="4" t="s">
        <v>417</v>
      </c>
      <c r="C3422" s="8" t="s">
        <v>5</v>
      </c>
      <c r="D3422" s="11" t="s">
        <v>1654</v>
      </c>
    </row>
    <row r="3423" spans="1:4" ht="30">
      <c r="A3423" s="5" t="str">
        <f>HYPERLINK("https://www.oit.va.gov/Services/TRM/ToolPage.aspx?tid=16663^","G*Power.")</f>
        <v>G*Power.</v>
      </c>
      <c r="B3423" s="4" t="s">
        <v>520</v>
      </c>
      <c r="C3423" s="8" t="s">
        <v>5</v>
      </c>
      <c r="D3423" s="11" t="s">
        <v>521</v>
      </c>
    </row>
    <row r="3424" spans="1:4" ht="30">
      <c r="A3424" s="5" t="str">
        <f>HYPERLINK("https://www.oit.va.gov/Services/TRM/ToolPage.aspx?tid=16711^","Helena Biosciences Platinum")</f>
        <v>Helena Biosciences Platinum</v>
      </c>
      <c r="B3424" s="4" t="s">
        <v>5853</v>
      </c>
      <c r="C3424" s="8" t="s">
        <v>5</v>
      </c>
      <c r="D3424" s="11" t="s">
        <v>5854</v>
      </c>
    </row>
    <row r="3425" spans="1:4" ht="30">
      <c r="A3425" s="5" t="str">
        <f>HYPERLINK("https://www.oit.va.gov/Services/TRM/ToolPage.aspx?tid=15165^","QuickScan Touch Plus")</f>
        <v>QuickScan Touch Plus</v>
      </c>
      <c r="B3425" s="4" t="s">
        <v>4697</v>
      </c>
      <c r="C3425" s="8" t="s">
        <v>5</v>
      </c>
      <c r="D3425" s="11" t="s">
        <v>88</v>
      </c>
    </row>
    <row r="3426" spans="1:4" ht="30">
      <c r="A3426" s="5" t="str">
        <f>HYPERLINK("https://www.oit.va.gov/Services/TRM/ToolPage.aspx?tid=14350^","SetACL Studio")</f>
        <v>SetACL Studio</v>
      </c>
      <c r="B3426" s="4" t="s">
        <v>8631</v>
      </c>
      <c r="C3426" s="8" t="s">
        <v>5</v>
      </c>
      <c r="D3426" s="11" t="s">
        <v>8632</v>
      </c>
    </row>
    <row r="3427" spans="1:4" ht="30">
      <c r="A3427" s="5" t="str">
        <f>HYPERLINK("https://www.oit.va.gov/Services/TRM/ToolPage.aspx?tid=8553^","Internet Server Application Programming Interface (ISAPI) Rewrite 3")</f>
        <v>Internet Server Application Programming Interface (ISAPI) Rewrite 3</v>
      </c>
      <c r="B3427" s="4" t="s">
        <v>5260</v>
      </c>
      <c r="C3427" s="8" t="s">
        <v>5</v>
      </c>
      <c r="D3427" s="11" t="s">
        <v>5261</v>
      </c>
    </row>
    <row r="3428" spans="1:4" ht="30">
      <c r="A3428" s="5" t="str">
        <f>HYPERLINK("https://www.oit.va.gov/Services/TRM/ToolPage.aspx?tid=13010^","Helicon Focus")</f>
        <v>Helicon Focus</v>
      </c>
      <c r="B3428" s="4" t="s">
        <v>4218</v>
      </c>
      <c r="C3428" s="8" t="s">
        <v>5</v>
      </c>
      <c r="D3428" s="11" t="s">
        <v>4219</v>
      </c>
    </row>
    <row r="3429" spans="1:4" ht="30">
      <c r="A3429" s="5" t="str">
        <f>HYPERLINK("https://www.oit.va.gov/Services/TRM/ToolPage.aspx?tid=5990^","Helios TextPad")</f>
        <v>Helios TextPad</v>
      </c>
      <c r="B3429" s="4" t="s">
        <v>2639</v>
      </c>
      <c r="C3429" s="8" t="s">
        <v>5</v>
      </c>
      <c r="D3429" s="11" t="s">
        <v>703</v>
      </c>
    </row>
    <row r="3430" spans="1:4" ht="30">
      <c r="A3430" s="5" t="str">
        <f>HYPERLINK("https://www.oit.va.gov/Services/TRM/ToolPage.aspx?tid=14274^","Graphics Interchange Format (GIF) Brewery")</f>
        <v>Graphics Interchange Format (GIF) Brewery</v>
      </c>
      <c r="B3430" s="4" t="s">
        <v>7998</v>
      </c>
      <c r="C3430" s="8" t="s">
        <v>5</v>
      </c>
      <c r="D3430" s="11" t="s">
        <v>7920</v>
      </c>
    </row>
    <row r="3431" spans="1:4" ht="30">
      <c r="A3431" s="5" t="str">
        <f>HYPERLINK("https://www.oit.va.gov/Services/TRM/ToolPage.aspx?tid=14996^","HemoCue Primary Docking Stations (PDS) Configuration Tool")</f>
        <v>HemoCue Primary Docking Stations (PDS) Configuration Tool</v>
      </c>
      <c r="B3431" s="4" t="s">
        <v>8021</v>
      </c>
      <c r="C3431" s="8" t="s">
        <v>5</v>
      </c>
      <c r="D3431" s="11" t="s">
        <v>6658</v>
      </c>
    </row>
    <row r="3432" spans="1:4" ht="30">
      <c r="A3432" s="5" t="str">
        <f>HYPERLINK("https://www.oit.va.gov/Services/TRM/ToolPage.aspx?tid=11752^","Dapper.FluentMap")</f>
        <v>Dapper.FluentMap</v>
      </c>
      <c r="B3432" s="4" t="s">
        <v>636</v>
      </c>
      <c r="C3432" s="8" t="s">
        <v>5</v>
      </c>
      <c r="D3432" s="11" t="s">
        <v>637</v>
      </c>
    </row>
    <row r="3433" spans="1:4" ht="30">
      <c r="A3433" s="5" t="str">
        <f>HYPERLINK("https://www.oit.va.gov/Services/TRM/ToolPage.aspx?tid=15070^","Hewlett-Packard Security Manager (HPSM)")</f>
        <v>Hewlett-Packard Security Manager (HPSM)</v>
      </c>
      <c r="B3433" s="4" t="s">
        <v>1594</v>
      </c>
      <c r="C3433" s="8" t="s">
        <v>5</v>
      </c>
      <c r="D3433" s="11" t="s">
        <v>1595</v>
      </c>
    </row>
    <row r="3434" spans="1:4" ht="30">
      <c r="A3434" s="5" t="str">
        <f>HYPERLINK("https://www.oit.va.gov/Services/TRM/ToolPage.aspx?tid=10378^","HP Multipath Input/Output (MPIO) Device Specific Module (DSM) Manager")</f>
        <v>HP Multipath Input/Output (MPIO) Device Specific Module (DSM) Manager</v>
      </c>
      <c r="B3434" s="4" t="s">
        <v>1594</v>
      </c>
      <c r="C3434" s="8" t="s">
        <v>5</v>
      </c>
      <c r="D3434" s="11" t="s">
        <v>2139</v>
      </c>
    </row>
    <row r="3435" spans="1:4" ht="30">
      <c r="A3435" s="5" t="str">
        <f>HYPERLINK("https://www.oit.va.gov/Services/TRM/ToolPage.aspx?tid=6478^","Systems Insight Manager")</f>
        <v>Systems Insight Manager</v>
      </c>
      <c r="B3435" s="4" t="s">
        <v>1594</v>
      </c>
      <c r="C3435" s="8" t="s">
        <v>5</v>
      </c>
      <c r="D3435" s="11" t="s">
        <v>2195</v>
      </c>
    </row>
    <row r="3436" spans="1:4" ht="30">
      <c r="A3436" s="5" t="str">
        <f>HYPERLINK("https://www.oit.va.gov/Services/TRM/ToolPage.aspx?tid=10613^","Easy Document Creator")</f>
        <v>Easy Document Creator</v>
      </c>
      <c r="B3436" s="4" t="s">
        <v>1594</v>
      </c>
      <c r="C3436" s="8" t="s">
        <v>5</v>
      </c>
      <c r="D3436" s="11" t="s">
        <v>2526</v>
      </c>
    </row>
    <row r="3437" spans="1:4" ht="30">
      <c r="A3437" s="5" t="str">
        <f>HYPERLINK("https://www.oit.va.gov/Services/TRM/ToolPage.aspx?tid=15123^","Hewlett Packard (HP) Access Control (HPAC) Print")</f>
        <v>Hewlett Packard (HP) Access Control (HPAC) Print</v>
      </c>
      <c r="B3437" s="4" t="s">
        <v>1594</v>
      </c>
      <c r="C3437" s="8" t="s">
        <v>5</v>
      </c>
      <c r="D3437" s="11" t="s">
        <v>2986</v>
      </c>
    </row>
    <row r="3438" spans="1:4" ht="30">
      <c r="A3438" s="5" t="str">
        <f>HYPERLINK("https://www.oit.va.gov/Services/TRM/ToolPage.aspx?tid=15124^","Hewlett Packard (HP) Access Control (HPAC) Scan")</f>
        <v>Hewlett Packard (HP) Access Control (HPAC) Scan</v>
      </c>
      <c r="B3438" s="4" t="s">
        <v>1594</v>
      </c>
      <c r="C3438" s="8" t="s">
        <v>5</v>
      </c>
      <c r="D3438" s="11" t="s">
        <v>2986</v>
      </c>
    </row>
    <row r="3439" spans="1:4" ht="30">
      <c r="A3439" s="5" t="str">
        <f>HYPERLINK("https://www.oit.va.gov/Services/TRM/ToolPage.aspx?tid=16447^","Hewlett Packard (HP) Cloud Recovery Tool")</f>
        <v>Hewlett Packard (HP) Cloud Recovery Tool</v>
      </c>
      <c r="B3439" s="4" t="s">
        <v>1594</v>
      </c>
      <c r="C3439" s="8" t="s">
        <v>5</v>
      </c>
      <c r="D3439" s="11" t="s">
        <v>4224</v>
      </c>
    </row>
    <row r="3440" spans="1:4" ht="30">
      <c r="A3440" s="5" t="str">
        <f>HYPERLINK("https://www.oit.va.gov/Services/TRM/ToolPage.aspx?tid=16406^","Hewlett Packard Enterprise (HPE) Smart Storage Administrator")</f>
        <v>Hewlett Packard Enterprise (HPE) Smart Storage Administrator</v>
      </c>
      <c r="B3440" s="4" t="s">
        <v>1594</v>
      </c>
      <c r="C3440" s="8" t="s">
        <v>5</v>
      </c>
      <c r="D3440" s="11" t="s">
        <v>1552</v>
      </c>
    </row>
    <row r="3441" spans="1:4" ht="30">
      <c r="A3441" s="5" t="str">
        <f>HYPERLINK("https://www.oit.va.gov/Services/TRM/ToolPage.aspx?tid=15128^","HP Device Connect (HP DC)")</f>
        <v>HP Device Connect (HP DC)</v>
      </c>
      <c r="B3441" s="4" t="s">
        <v>1594</v>
      </c>
      <c r="C3441" s="8" t="s">
        <v>5</v>
      </c>
      <c r="D3441" s="11" t="s">
        <v>4232</v>
      </c>
    </row>
    <row r="3442" spans="1:4" ht="30">
      <c r="A3442" s="5" t="str">
        <f>HYPERLINK("https://www.oit.va.gov/Services/TRM/ToolPage.aspx?tid=15546^","HP LaserJet Pro M479fdw/M479fnw Printer Full Software Solution")</f>
        <v>HP LaserJet Pro M479fdw/M479fnw Printer Full Software Solution</v>
      </c>
      <c r="B3442" s="4" t="s">
        <v>1594</v>
      </c>
      <c r="C3442" s="8" t="s">
        <v>5</v>
      </c>
      <c r="D3442" s="11" t="s">
        <v>4233</v>
      </c>
    </row>
    <row r="3443" spans="1:4" ht="30">
      <c r="A3443" s="5" t="str">
        <f>HYPERLINK("https://www.oit.va.gov/Services/TRM/ToolPage.aspx?tid=14818^","HPE Lights-Out Console (HPLOCONS)")</f>
        <v>HPE Lights-Out Console (HPLOCONS)</v>
      </c>
      <c r="B3443" s="4" t="s">
        <v>1594</v>
      </c>
      <c r="C3443" s="8" t="s">
        <v>5</v>
      </c>
      <c r="D3443" s="11" t="s">
        <v>4234</v>
      </c>
    </row>
    <row r="3444" spans="1:4" ht="30">
      <c r="A3444" s="5" t="str">
        <f>HYPERLINK("https://www.oit.va.gov/Services/TRM/ToolPage.aspx?tid=11409^","Insight Diagnostics")</f>
        <v>Insight Diagnostics</v>
      </c>
      <c r="B3444" s="4" t="s">
        <v>1594</v>
      </c>
      <c r="C3444" s="8" t="s">
        <v>5</v>
      </c>
      <c r="D3444" s="11" t="s">
        <v>4263</v>
      </c>
    </row>
    <row r="3445" spans="1:4" ht="30">
      <c r="A3445" s="5" t="str">
        <f>HYPERLINK("https://www.oit.va.gov/Services/TRM/ToolPage.aspx?tid=11117^","Hewlett Packard Enterprise (HPE) Internet Protocol (IP) Console Viewer")</f>
        <v>Hewlett Packard Enterprise (HPE) Internet Protocol (IP) Console Viewer</v>
      </c>
      <c r="B3445" s="4" t="s">
        <v>1594</v>
      </c>
      <c r="C3445" s="8" t="s">
        <v>5</v>
      </c>
      <c r="D3445" s="11" t="s">
        <v>5169</v>
      </c>
    </row>
    <row r="3446" spans="1:4" ht="30">
      <c r="A3446" s="5" t="str">
        <f>HYPERLINK("https://www.oit.va.gov/Services/TRM/ToolPage.aspx?tid=12926^","ONCplus")</f>
        <v>ONCplus</v>
      </c>
      <c r="B3446" s="4" t="s">
        <v>1594</v>
      </c>
      <c r="C3446" s="8" t="s">
        <v>5</v>
      </c>
      <c r="D3446" s="11" t="s">
        <v>5393</v>
      </c>
    </row>
    <row r="3447" spans="1:4" ht="30">
      <c r="A3447" s="5" t="str">
        <f>HYPERLINK("https://www.oit.va.gov/Services/TRM/ToolPage.aspx?tid=16393^","Aruba NetEdit")</f>
        <v>Aruba NetEdit</v>
      </c>
      <c r="B3447" s="4" t="s">
        <v>1594</v>
      </c>
      <c r="C3447" s="8" t="s">
        <v>5</v>
      </c>
      <c r="D3447" s="11" t="s">
        <v>5654</v>
      </c>
    </row>
    <row r="3448" spans="1:4" ht="30">
      <c r="A3448" s="5" t="str">
        <f>HYPERLINK("https://www.oit.va.gov/Services/TRM/ToolPage.aspx?tid=15057^","Hewlett Packard Capture and Route (HPCR)")</f>
        <v>Hewlett Packard Capture and Route (HPCR)</v>
      </c>
      <c r="B3448" s="4" t="s">
        <v>1594</v>
      </c>
      <c r="C3448" s="8" t="s">
        <v>5</v>
      </c>
      <c r="D3448" s="11" t="s">
        <v>2630</v>
      </c>
    </row>
    <row r="3449" spans="1:4" ht="45">
      <c r="A3449" s="5" t="str">
        <f>HYPERLINK("https://www.oit.va.gov/Services/TRM/ToolPage.aspx?tid=10851^","Hewlett Packard (HP) Multipath Input/Output (MPIO) Full Featured Device Specific Module (DSM) for P6x00/EVA4x00/6x00/8x00 families of Disk Arrays")</f>
        <v>Hewlett Packard (HP) Multipath Input/Output (MPIO) Full Featured Device Specific Module (DSM) for P6x00/EVA4x00/6x00/8x00 families of Disk Arrays</v>
      </c>
      <c r="B3449" s="4" t="s">
        <v>1594</v>
      </c>
      <c r="C3449" s="8" t="s">
        <v>5</v>
      </c>
      <c r="D3449" s="11" t="s">
        <v>4243</v>
      </c>
    </row>
    <row r="3450" spans="1:4" ht="30">
      <c r="A3450" s="5" t="str">
        <f>HYPERLINK("https://www.oit.va.gov/Services/TRM/ToolPage.aspx?tid=15551^","Hewlett Packard (HP) Smart")</f>
        <v>Hewlett Packard (HP) Smart</v>
      </c>
      <c r="B3450" s="4" t="s">
        <v>1594</v>
      </c>
      <c r="C3450" s="8" t="s">
        <v>5</v>
      </c>
      <c r="D3450" s="11" t="s">
        <v>6687</v>
      </c>
    </row>
    <row r="3451" spans="1:4" ht="30">
      <c r="A3451" s="5" t="str">
        <f>HYPERLINK("https://www.oit.va.gov/Services/TRM/ToolPage.aspx?tid=16470^","Hewlett Packard (HP) SmartStream")</f>
        <v>Hewlett Packard (HP) SmartStream</v>
      </c>
      <c r="B3451" s="4" t="s">
        <v>1594</v>
      </c>
      <c r="C3451" s="8" t="s">
        <v>5</v>
      </c>
      <c r="D3451" s="11" t="s">
        <v>6076</v>
      </c>
    </row>
    <row r="3452" spans="1:4" ht="30">
      <c r="A3452" s="5" t="str">
        <f>HYPERLINK("https://www.oit.va.gov/Services/TRM/ToolPage.aspx?tid=15069^","Hewlett-Packard (HP) Access Control (AC)")</f>
        <v>Hewlett-Packard (HP) Access Control (AC)</v>
      </c>
      <c r="B3452" s="4" t="s">
        <v>1594</v>
      </c>
      <c r="C3452" s="8" t="s">
        <v>5</v>
      </c>
      <c r="D3452" s="11" t="s">
        <v>6688</v>
      </c>
    </row>
    <row r="3453" spans="1:4" ht="30">
      <c r="A3453" s="5" t="str">
        <f>HYPERLINK("https://www.oit.va.gov/Services/TRM/ToolPage.aspx?tid=13090^","HP-UX IPFilter")</f>
        <v>HP-UX IPFilter</v>
      </c>
      <c r="B3453" s="4" t="s">
        <v>1594</v>
      </c>
      <c r="C3453" s="8" t="s">
        <v>5</v>
      </c>
      <c r="D3453" s="11" t="s">
        <v>6692</v>
      </c>
    </row>
    <row r="3454" spans="1:4" ht="30">
      <c r="A3454" s="5" t="str">
        <f>HYPERLINK("https://www.oit.va.gov/Services/TRM/ToolPage.aspx?tid=13067^","ISOIMAGE-ENH")</f>
        <v>ISOIMAGE-ENH</v>
      </c>
      <c r="B3454" s="4" t="s">
        <v>1594</v>
      </c>
      <c r="C3454" s="8" t="s">
        <v>5</v>
      </c>
      <c r="D3454" s="11" t="s">
        <v>6737</v>
      </c>
    </row>
    <row r="3455" spans="1:4" ht="30">
      <c r="A3455" s="5" t="str">
        <f>HYPERLINK("https://www.oit.va.gov/Services/TRM/ToolPage.aspx?tid=5163^","JDK - HP-UX Java Development Kit")</f>
        <v>JDK - HP-UX Java Development Kit</v>
      </c>
      <c r="B3455" s="4" t="s">
        <v>1594</v>
      </c>
      <c r="C3455" s="8" t="s">
        <v>5</v>
      </c>
      <c r="D3455" s="11" t="s">
        <v>3354</v>
      </c>
    </row>
    <row r="3456" spans="1:4" ht="30">
      <c r="A3456" s="5" t="str">
        <f>HYPERLINK("https://www.oit.va.gov/Services/TRM/ToolPage.aspx?tid=10502^","StoreServ Management Console (SSMC)")</f>
        <v>StoreServ Management Console (SSMC)</v>
      </c>
      <c r="B3456" s="4" t="s">
        <v>1594</v>
      </c>
      <c r="C3456" s="8" t="s">
        <v>5</v>
      </c>
      <c r="D3456" s="11" t="s">
        <v>2027</v>
      </c>
    </row>
    <row r="3457" spans="1:4" ht="30">
      <c r="A3457" s="5" t="str">
        <f>HYPERLINK("https://www.oit.va.gov/Services/TRM/ToolPage.aspx?tid=14180^","B-series SAN Network Advisor Software")</f>
        <v>B-series SAN Network Advisor Software</v>
      </c>
      <c r="B3457" s="4" t="s">
        <v>1594</v>
      </c>
      <c r="C3457" s="8" t="s">
        <v>5</v>
      </c>
      <c r="D3457" s="11" t="s">
        <v>7523</v>
      </c>
    </row>
    <row r="3458" spans="1:4" ht="30">
      <c r="A3458" s="5" t="str">
        <f>HYPERLINK("https://www.oit.va.gov/Services/TRM/ToolPage.aspx?tid=14633^","Hewlett Packard (HP) DesignJet Utility")</f>
        <v>Hewlett Packard (HP) DesignJet Utility</v>
      </c>
      <c r="B3458" s="4" t="s">
        <v>1594</v>
      </c>
      <c r="C3458" s="8" t="s">
        <v>5</v>
      </c>
      <c r="D3458" s="11" t="s">
        <v>4381</v>
      </c>
    </row>
    <row r="3459" spans="1:4" ht="30">
      <c r="A3459" s="5" t="str">
        <f>HYPERLINK("https://www.oit.va.gov/Services/TRM/ToolPage.aspx?tid=10461^","Hewlett Packard (HP) Document Manager")</f>
        <v>Hewlett Packard (HP) Document Manager</v>
      </c>
      <c r="B3459" s="4" t="s">
        <v>1594</v>
      </c>
      <c r="C3459" s="8" t="s">
        <v>5</v>
      </c>
      <c r="D3459" s="11" t="s">
        <v>8022</v>
      </c>
    </row>
    <row r="3460" spans="1:4" ht="30">
      <c r="A3460" s="5" t="str">
        <f>HYPERLINK("https://www.oit.va.gov/Services/TRM/ToolPage.aspx?tid=10189^","Hewlett Packard (HP) ProLiant Remote Monitor Service")</f>
        <v>Hewlett Packard (HP) ProLiant Remote Monitor Service</v>
      </c>
      <c r="B3460" s="4" t="s">
        <v>1594</v>
      </c>
      <c r="C3460" s="8" t="s">
        <v>5</v>
      </c>
      <c r="D3460" s="11" t="s">
        <v>6382</v>
      </c>
    </row>
    <row r="3461" spans="1:4" ht="30">
      <c r="A3461" s="5" t="str">
        <f>HYPERLINK("https://www.oit.va.gov/Services/TRM/ToolPage.aspx?tid=12972^","Hewlett Packard Common Internet File System (CIFS) Client")</f>
        <v>Hewlett Packard Common Internet File System (CIFS) Client</v>
      </c>
      <c r="B3461" s="4" t="s">
        <v>1594</v>
      </c>
      <c r="C3461" s="8" t="s">
        <v>5</v>
      </c>
      <c r="D3461" s="11" t="s">
        <v>8023</v>
      </c>
    </row>
    <row r="3462" spans="1:4" ht="30">
      <c r="A3462" s="5" t="str">
        <f>HYPERLINK("https://www.oit.va.gov/Services/TRM/ToolPage.aspx?tid=13070^","Hewlett Packard Common Internet File System (CIFS) Server")</f>
        <v>Hewlett Packard Common Internet File System (CIFS) Server</v>
      </c>
      <c r="B3462" s="4" t="s">
        <v>1594</v>
      </c>
      <c r="C3462" s="8" t="s">
        <v>5</v>
      </c>
      <c r="D3462" s="11" t="s">
        <v>2325</v>
      </c>
    </row>
    <row r="3463" spans="1:4" ht="30">
      <c r="A3463" s="5" t="str">
        <f>HYPERLINK("https://www.oit.va.gov/Services/TRM/ToolPage.aspx?tid=12921^","Hewlett Packard UniX (HP-UX) Tomcat-based Servlet Engine")</f>
        <v>Hewlett Packard UniX (HP-UX) Tomcat-based Servlet Engine</v>
      </c>
      <c r="B3463" s="4" t="s">
        <v>1594</v>
      </c>
      <c r="C3463" s="8" t="s">
        <v>5</v>
      </c>
      <c r="D3463" s="11" t="s">
        <v>6328</v>
      </c>
    </row>
    <row r="3464" spans="1:4" ht="30">
      <c r="A3464" s="5" t="str">
        <f>HYPERLINK("https://www.oit.va.gov/Services/TRM/ToolPage.aspx?tid=12928^","Hewlett Packard Web-Based Enterprise Management (HP WBEM)")</f>
        <v>Hewlett Packard Web-Based Enterprise Management (HP WBEM)</v>
      </c>
      <c r="B3464" s="4" t="s">
        <v>1594</v>
      </c>
      <c r="C3464" s="8" t="s">
        <v>5</v>
      </c>
      <c r="D3464" s="11" t="s">
        <v>6328</v>
      </c>
    </row>
    <row r="3465" spans="1:4" ht="30">
      <c r="A3465" s="5" t="str">
        <f>HYPERLINK("https://www.oit.va.gov/Services/TRM/ToolPage.aspx?tid=13017^","Hewlett-Packard (HP) Mathematical Software Library (MLIB)")</f>
        <v>Hewlett-Packard (HP) Mathematical Software Library (MLIB)</v>
      </c>
      <c r="B3465" s="4" t="s">
        <v>1594</v>
      </c>
      <c r="C3465" s="8" t="s">
        <v>5</v>
      </c>
      <c r="D3465" s="11" t="s">
        <v>8023</v>
      </c>
    </row>
    <row r="3466" spans="1:4" ht="30">
      <c r="A3466" s="5" t="str">
        <f>HYPERLINK("https://www.oit.va.gov/Services/TRM/ToolPage.aspx?tid=14729^","Hewlett-Packard (HP) ScanJet Pro 2500 f1 Software and Driver")</f>
        <v>Hewlett-Packard (HP) ScanJet Pro 2500 f1 Software and Driver</v>
      </c>
      <c r="B3466" s="4" t="s">
        <v>1594</v>
      </c>
      <c r="C3466" s="8" t="s">
        <v>5</v>
      </c>
      <c r="D3466" s="11" t="s">
        <v>8026</v>
      </c>
    </row>
    <row r="3467" spans="1:4" ht="30">
      <c r="A3467" s="5" t="str">
        <f>HYPERLINK("https://www.oit.va.gov/Services/TRM/ToolPage.aspx?tid=11309^","Host Explorer Software")</f>
        <v>Host Explorer Software</v>
      </c>
      <c r="B3467" s="4" t="s">
        <v>1594</v>
      </c>
      <c r="C3467" s="8" t="s">
        <v>5</v>
      </c>
      <c r="D3467" s="11" t="s">
        <v>8037</v>
      </c>
    </row>
    <row r="3468" spans="1:4" ht="30">
      <c r="A3468" s="5" t="str">
        <f>HYPERLINK("https://www.oit.va.gov/Services/TRM/ToolPage.aspx?tid=10540^","HP ProLiant Smart Array SAS/SATA Event Notification Service")</f>
        <v>HP ProLiant Smart Array SAS/SATA Event Notification Service</v>
      </c>
      <c r="B3468" s="4" t="s">
        <v>1594</v>
      </c>
      <c r="C3468" s="8" t="s">
        <v>5</v>
      </c>
      <c r="D3468" s="11" t="s">
        <v>3366</v>
      </c>
    </row>
    <row r="3469" spans="1:4" ht="30">
      <c r="A3469" s="5" t="str">
        <f>HYPERLINK("https://www.oit.va.gov/Services/TRM/ToolPage.aspx?tid=10658^","HP Software Update")</f>
        <v>HP Software Update</v>
      </c>
      <c r="B3469" s="4" t="s">
        <v>1594</v>
      </c>
      <c r="C3469" s="8" t="s">
        <v>5</v>
      </c>
      <c r="D3469" s="11" t="s">
        <v>7399</v>
      </c>
    </row>
    <row r="3470" spans="1:4" ht="30">
      <c r="A3470" s="5" t="str">
        <f>HYPERLINK("https://www.oit.va.gov/Services/TRM/ToolPage.aspx?tid=12971^","Mirrordisk/UX")</f>
        <v>Mirrordisk/UX</v>
      </c>
      <c r="B3470" s="4" t="s">
        <v>1594</v>
      </c>
      <c r="C3470" s="8" t="s">
        <v>5</v>
      </c>
      <c r="D3470" s="11" t="s">
        <v>5301</v>
      </c>
    </row>
    <row r="3471" spans="1:4" ht="30">
      <c r="A3471" s="5" t="str">
        <f>HYPERLINK("https://www.oit.va.gov/Services/TRM/ToolPage.aspx?tid=14206^","PrecisionScan Pro")</f>
        <v>PrecisionScan Pro</v>
      </c>
      <c r="B3471" s="4" t="s">
        <v>1594</v>
      </c>
      <c r="C3471" s="8" t="s">
        <v>5</v>
      </c>
      <c r="D3471" s="11" t="s">
        <v>6750</v>
      </c>
    </row>
    <row r="3472" spans="1:4" ht="30">
      <c r="A3472" s="5" t="str">
        <f>HYPERLINK("https://www.oit.va.gov/Services/TRM/ToolPage.aspx?tid=10830^","ProLiant Integrated Management Log Viewer")</f>
        <v>ProLiant Integrated Management Log Viewer</v>
      </c>
      <c r="B3472" s="4" t="s">
        <v>1594</v>
      </c>
      <c r="C3472" s="8" t="s">
        <v>5</v>
      </c>
      <c r="D3472" s="11" t="s">
        <v>8489</v>
      </c>
    </row>
    <row r="3473" spans="1:4" ht="30">
      <c r="A3473" s="5" t="str">
        <f>HYPERLINK("https://www.oit.va.gov/Services/TRM/ToolPage.aspx?tid=13042^","Serviceguard (NFS) Toolkit")</f>
        <v>Serviceguard (NFS) Toolkit</v>
      </c>
      <c r="B3473" s="4" t="s">
        <v>1594</v>
      </c>
      <c r="C3473" s="8" t="s">
        <v>5</v>
      </c>
      <c r="D3473" s="11" t="s">
        <v>7990</v>
      </c>
    </row>
    <row r="3474" spans="1:4" ht="30">
      <c r="A3474" s="5" t="str">
        <f>HYPERLINK("https://www.oit.va.gov/Services/TRM/ToolPage.aspx?tid=13072^","Utilization Provider")</f>
        <v>Utilization Provider</v>
      </c>
      <c r="B3474" s="4" t="s">
        <v>1594</v>
      </c>
      <c r="C3474" s="8" t="s">
        <v>5</v>
      </c>
      <c r="D3474" s="11" t="s">
        <v>8857</v>
      </c>
    </row>
    <row r="3475" spans="1:4" ht="30">
      <c r="A3475" s="5" t="str">
        <f>HYPERLINK("https://www.oit.va.gov/Services/TRM/ToolPage.aspx?tid=13138^","Workload Manager")</f>
        <v>Workload Manager</v>
      </c>
      <c r="B3475" s="4" t="s">
        <v>1594</v>
      </c>
      <c r="C3475" s="8" t="s">
        <v>5</v>
      </c>
      <c r="D3475" s="11" t="s">
        <v>6891</v>
      </c>
    </row>
    <row r="3476" spans="1:4" ht="30">
      <c r="A3476" s="5" t="str">
        <f>HYPERLINK("https://www.oit.va.gov/Services/TRM/ToolPage.aspx?tid=14360^","Hex-Rays Interactive Disassembler (IDA)")</f>
        <v>Hex-Rays Interactive Disassembler (IDA)</v>
      </c>
      <c r="B3476" s="4" t="s">
        <v>6689</v>
      </c>
      <c r="C3476" s="8" t="s">
        <v>5</v>
      </c>
      <c r="D3476" s="11" t="s">
        <v>349</v>
      </c>
    </row>
    <row r="3477" spans="1:4" ht="30">
      <c r="A3477" s="5" t="str">
        <f>HYPERLINK("https://www.oit.va.gov/Services/TRM/ToolPage.aspx?tid=8687^","Hex-Rays Decompiler")</f>
        <v>Hex-Rays Decompiler</v>
      </c>
      <c r="B3477" s="4" t="s">
        <v>6689</v>
      </c>
      <c r="C3477" s="8" t="s">
        <v>5</v>
      </c>
      <c r="D3477" s="11" t="s">
        <v>8027</v>
      </c>
    </row>
    <row r="3478" spans="1:4" ht="30">
      <c r="A3478" s="5" t="str">
        <f>HYPERLINK("https://www.oit.va.gov/Services/TRM/ToolPage.aspx?tid=15211^","Requirements &amp; Test Management (RTM) for Jira")</f>
        <v>Requirements &amp; Test Management (RTM) for Jira</v>
      </c>
      <c r="B3478" s="4" t="s">
        <v>2309</v>
      </c>
      <c r="C3478" s="8" t="s">
        <v>5</v>
      </c>
      <c r="D3478" s="11" t="s">
        <v>2310</v>
      </c>
    </row>
    <row r="3479" spans="1:4" ht="30">
      <c r="A3479" s="5" t="str">
        <f>HYPERLINK("https://www.oit.va.gov/Services/TRM/ToolPage.aspx?tid=14603^","Virtual Serial Ports")</f>
        <v>Virtual Serial Ports</v>
      </c>
      <c r="B3479" s="4" t="s">
        <v>5575</v>
      </c>
      <c r="C3479" s="8" t="s">
        <v>5</v>
      </c>
      <c r="D3479" s="11" t="s">
        <v>5576</v>
      </c>
    </row>
    <row r="3480" spans="1:4" ht="30">
      <c r="A3480" s="5" t="str">
        <f>HYPERLINK("https://www.oit.va.gov/Services/TRM/ToolPage.aspx?tid=13^","Hibernate Object/Relational Mapping (ORM)")</f>
        <v>Hibernate Object/Relational Mapping (ORM)</v>
      </c>
      <c r="B3480" s="4" t="s">
        <v>1596</v>
      </c>
      <c r="C3480" s="8" t="s">
        <v>5</v>
      </c>
      <c r="D3480" s="11" t="s">
        <v>1597</v>
      </c>
    </row>
    <row r="3481" spans="1:4" ht="30">
      <c r="A3481" s="5" t="str">
        <f>HYPERLINK("https://www.oit.va.gov/Services/TRM/ToolPage.aspx?tid=10187^","Hibernate Commons Annotations")</f>
        <v>Hibernate Commons Annotations</v>
      </c>
      <c r="B3481" s="4" t="s">
        <v>1596</v>
      </c>
      <c r="C3481" s="8" t="s">
        <v>5</v>
      </c>
      <c r="D3481" s="11" t="s">
        <v>421</v>
      </c>
    </row>
    <row r="3482" spans="1:4" ht="30">
      <c r="A3482" s="5" t="str">
        <f>HYPERLINK("https://www.oit.va.gov/Services/TRM/ToolPage.aspx?tid=6998^","Rhino Mocks")</f>
        <v>Rhino Mocks</v>
      </c>
      <c r="B3482" s="4" t="s">
        <v>8571</v>
      </c>
      <c r="C3482" s="8" t="s">
        <v>5</v>
      </c>
      <c r="D3482" s="11" t="s">
        <v>3472</v>
      </c>
    </row>
    <row r="3483" spans="1:4" ht="30">
      <c r="A3483" s="5" t="str">
        <f>HYPERLINK("https://www.oit.va.gov/Services/TRM/ToolPage.aspx?tid=15068^","EasyLobby Secure Visitor Management (SVM)")</f>
        <v>EasyLobby Secure Visitor Management (SVM)</v>
      </c>
      <c r="B3483" s="4" t="s">
        <v>666</v>
      </c>
      <c r="C3483" s="8" t="s">
        <v>5</v>
      </c>
      <c r="D3483" s="11" t="s">
        <v>550</v>
      </c>
    </row>
    <row r="3484" spans="1:4" ht="30">
      <c r="A3484" s="5" t="str">
        <f>HYPERLINK("https://www.oit.va.gov/Services/TRM/ToolPage.aspx?tid=5928^","ActivID Desktop Validation Client")</f>
        <v>ActivID Desktop Validation Client</v>
      </c>
      <c r="B3484" s="4" t="s">
        <v>666</v>
      </c>
      <c r="C3484" s="8" t="s">
        <v>5</v>
      </c>
      <c r="D3484" s="11" t="s">
        <v>1278</v>
      </c>
    </row>
    <row r="3485" spans="1:4" ht="30">
      <c r="A3485" s="5" t="str">
        <f>HYPERLINK("https://www.oit.va.gov/Services/TRM/ToolPage.aspx?tid=10474^","Fargo Workbench")</f>
        <v>Fargo Workbench</v>
      </c>
      <c r="B3485" s="4" t="s">
        <v>666</v>
      </c>
      <c r="C3485" s="8" t="s">
        <v>5</v>
      </c>
      <c r="D3485" s="11" t="s">
        <v>2586</v>
      </c>
    </row>
    <row r="3486" spans="1:4" ht="30">
      <c r="A3486" s="5" t="str">
        <f>HYPERLINK("https://www.oit.va.gov/Services/TRM/ToolPage.aspx?tid=11690^","ActivClient")</f>
        <v>ActivClient</v>
      </c>
      <c r="B3486" s="4" t="s">
        <v>666</v>
      </c>
      <c r="C3486" s="8" t="s">
        <v>5</v>
      </c>
      <c r="D3486" s="11" t="s">
        <v>3700</v>
      </c>
    </row>
    <row r="3487" spans="1:4" ht="30">
      <c r="A3487" s="5" t="str">
        <f>HYPERLINK("https://www.oit.va.gov/Services/TRM/ToolPage.aspx?tid=15944^","Bluzone Platform")</f>
        <v>Bluzone Platform</v>
      </c>
      <c r="B3487" s="4" t="s">
        <v>666</v>
      </c>
      <c r="C3487" s="8" t="s">
        <v>5</v>
      </c>
      <c r="D3487" s="11" t="s">
        <v>2662</v>
      </c>
    </row>
    <row r="3488" spans="1:4" ht="30">
      <c r="A3488" s="5" t="str">
        <f>HYPERLINK("https://www.oit.va.gov/Services/TRM/ToolPage.aspx?tid=16116^","HID ActivID Credential Management System")</f>
        <v>HID ActivID Credential Management System</v>
      </c>
      <c r="B3488" s="4" t="s">
        <v>666</v>
      </c>
      <c r="C3488" s="8" t="s">
        <v>5</v>
      </c>
      <c r="D3488" s="11" t="s">
        <v>1123</v>
      </c>
    </row>
    <row r="3489" spans="1:4" ht="30">
      <c r="A3489" s="5" t="str">
        <f>HYPERLINK("https://www.oit.va.gov/Services/TRM/ToolPage.aspx?tid=5932^","L SCAN Essentials")</f>
        <v>L SCAN Essentials</v>
      </c>
      <c r="B3489" s="4" t="s">
        <v>666</v>
      </c>
      <c r="C3489" s="8" t="s">
        <v>5</v>
      </c>
      <c r="D3489" s="11" t="s">
        <v>1608</v>
      </c>
    </row>
    <row r="3490" spans="1:4" ht="30">
      <c r="A3490" s="5" t="str">
        <f>HYPERLINK("https://www.oit.va.gov/Services/TRM/ToolPage.aspx?tid=12963^","Server Message Block - Java (SMBJ)")</f>
        <v>Server Message Block - Java (SMBJ)</v>
      </c>
      <c r="B3490" s="4" t="s">
        <v>8624</v>
      </c>
      <c r="C3490" s="8" t="s">
        <v>5</v>
      </c>
      <c r="D3490" s="11" t="s">
        <v>8625</v>
      </c>
    </row>
    <row r="3491" spans="1:4" ht="30">
      <c r="A3491" s="5" t="str">
        <f>HYPERLINK("https://www.oit.va.gov/Services/TRM/ToolPage.aspx?tid=8235^","Highcharts")</f>
        <v>Highcharts</v>
      </c>
      <c r="B3491" s="4" t="s">
        <v>4225</v>
      </c>
      <c r="C3491" s="8" t="s">
        <v>5</v>
      </c>
      <c r="D3491" s="11" t="s">
        <v>1664</v>
      </c>
    </row>
    <row r="3492" spans="1:4" ht="30">
      <c r="A3492" s="5" t="str">
        <f>HYPERLINK("https://www.oit.va.gov/Services/TRM/ToolPage.aspx?tid=8137^","Highstock")</f>
        <v>Highstock</v>
      </c>
      <c r="B3492" s="4" t="s">
        <v>4225</v>
      </c>
      <c r="C3492" s="8" t="s">
        <v>5</v>
      </c>
      <c r="D3492" s="11" t="s">
        <v>2875</v>
      </c>
    </row>
    <row r="3493" spans="1:4" ht="30">
      <c r="A3493" s="5" t="str">
        <f>HYPERLINK("https://www.oit.va.gov/Services/TRM/ToolPage.aspx?tid=14216^","IVMS-4200 Client")</f>
        <v>IVMS-4200 Client</v>
      </c>
      <c r="B3493" s="4" t="s">
        <v>5271</v>
      </c>
      <c r="C3493" s="8" t="s">
        <v>5</v>
      </c>
      <c r="D3493" s="11" t="s">
        <v>5272</v>
      </c>
    </row>
    <row r="3494" spans="1:4" ht="30">
      <c r="A3494" s="5" t="str">
        <f>HYPERLINK("https://www.oit.va.gov/Services/TRM/ToolPage.aspx?tid=10937^","HyperTerminal")</f>
        <v>HyperTerminal</v>
      </c>
      <c r="B3494" s="4" t="s">
        <v>6699</v>
      </c>
      <c r="C3494" s="8" t="s">
        <v>5</v>
      </c>
      <c r="D3494" s="11" t="s">
        <v>6700</v>
      </c>
    </row>
    <row r="3495" spans="1:4" ht="30">
      <c r="A3495" s="5" t="str">
        <f>HYPERLINK("https://www.oit.va.gov/Services/TRM/ToolPage.aspx?tid=7361^","Connex Electronic Vitals Documentation (EVD)")</f>
        <v>Connex Electronic Vitals Documentation (EVD)</v>
      </c>
      <c r="B3495" s="4" t="s">
        <v>5731</v>
      </c>
      <c r="C3495" s="8" t="s">
        <v>5</v>
      </c>
      <c r="D3495" s="11" t="s">
        <v>5732</v>
      </c>
    </row>
    <row r="3496" spans="1:4" ht="30">
      <c r="A3496" s="5" t="str">
        <f>HYPERLINK("https://www.oit.va.gov/Services/TRM/ToolPage.aspx?tid=11005^","Voalte Nurse Call")</f>
        <v>Voalte Nurse Call</v>
      </c>
      <c r="B3496" s="4" t="s">
        <v>5731</v>
      </c>
      <c r="C3496" s="8" t="s">
        <v>5</v>
      </c>
      <c r="D3496" s="11" t="s">
        <v>6150</v>
      </c>
    </row>
    <row r="3497" spans="1:4" ht="30">
      <c r="A3497" s="5" t="str">
        <f>HYPERLINK("https://www.oit.va.gov/Services/TRM/ToolPage.aspx?tid=9020^","CareCenter MD")</f>
        <v>CareCenter MD</v>
      </c>
      <c r="B3497" s="4" t="s">
        <v>5731</v>
      </c>
      <c r="C3497" s="8" t="s">
        <v>5</v>
      </c>
      <c r="D3497" s="11" t="s">
        <v>2232</v>
      </c>
    </row>
    <row r="3498" spans="1:4" ht="30">
      <c r="A3498" s="5" t="str">
        <f>HYPERLINK("https://www.oit.va.gov/Services/TRM/ToolPage.aspx?tid=5678^","NOAH")</f>
        <v>NOAH</v>
      </c>
      <c r="B3498" s="4" t="s">
        <v>783</v>
      </c>
      <c r="C3498" s="8" t="s">
        <v>5</v>
      </c>
      <c r="D3498" s="11" t="s">
        <v>784</v>
      </c>
    </row>
    <row r="3499" spans="1:4" ht="30">
      <c r="A3499" s="5" t="str">
        <f>HYPERLINK("https://www.oit.va.gov/Services/TRM/ToolPage.aspx?tid=6020^","NOAH Journal Module")</f>
        <v>NOAH Journal Module</v>
      </c>
      <c r="B3499" s="4" t="s">
        <v>783</v>
      </c>
      <c r="C3499" s="8" t="s">
        <v>5</v>
      </c>
      <c r="D3499" s="11" t="s">
        <v>1189</v>
      </c>
    </row>
    <row r="3500" spans="1:4" ht="30">
      <c r="A3500" s="5" t="str">
        <f>HYPERLINK("https://www.oit.va.gov/Services/TRM/ToolPage.aspx?tid=11071^","Hioki Power Quality Analyzer")</f>
        <v>Hioki Power Quality Analyzer</v>
      </c>
      <c r="B3500" s="4" t="s">
        <v>1171</v>
      </c>
      <c r="C3500" s="8" t="s">
        <v>5</v>
      </c>
      <c r="D3500" s="11" t="s">
        <v>1172</v>
      </c>
    </row>
    <row r="3501" spans="1:4" ht="30">
      <c r="A3501" s="5" t="str">
        <f>HYPERLINK("https://www.oit.va.gov/Services/TRM/ToolPage.aspx?tid=10170^","Hiperwall")</f>
        <v>Hiperwall</v>
      </c>
      <c r="B3501" s="4" t="s">
        <v>698</v>
      </c>
      <c r="C3501" s="8" t="s">
        <v>5</v>
      </c>
      <c r="D3501" s="11" t="s">
        <v>699</v>
      </c>
    </row>
    <row r="3502" spans="1:4" ht="30">
      <c r="A3502" s="5" t="str">
        <f>HYPERLINK("https://www.oit.va.gov/Services/TRM/ToolPage.aspx?tid=10612^","Dynamic Link Manager")</f>
        <v>Dynamic Link Manager</v>
      </c>
      <c r="B3502" s="4" t="s">
        <v>1513</v>
      </c>
      <c r="C3502" s="8" t="s">
        <v>5</v>
      </c>
      <c r="D3502" s="11" t="s">
        <v>1514</v>
      </c>
    </row>
    <row r="3503" spans="1:4" ht="30">
      <c r="A3503" s="5" t="str">
        <f>HYPERLINK("https://www.oit.va.gov/Services/TRM/ToolPage.aspx?tid=14927^","Hitachi Command Suite Common Component")</f>
        <v>Hitachi Command Suite Common Component</v>
      </c>
      <c r="B3503" s="4" t="s">
        <v>1513</v>
      </c>
      <c r="C3503" s="8" t="s">
        <v>5</v>
      </c>
      <c r="D3503" s="11" t="s">
        <v>1601</v>
      </c>
    </row>
    <row r="3504" spans="1:4" ht="30">
      <c r="A3504" s="5" t="str">
        <f>HYPERLINK("https://www.oit.va.gov/Services/TRM/ToolPage.aspx?tid=14926^","Hitachi Replication Manager")</f>
        <v>Hitachi Replication Manager</v>
      </c>
      <c r="B3504" s="4" t="s">
        <v>1513</v>
      </c>
      <c r="C3504" s="8" t="s">
        <v>5</v>
      </c>
      <c r="D3504" s="11" t="s">
        <v>1601</v>
      </c>
    </row>
    <row r="3505" spans="1:4" ht="30">
      <c r="A3505" s="5" t="str">
        <f>HYPERLINK("https://www.oit.va.gov/Services/TRM/ToolPage.aspx?tid=14925^","Hitachi Tiered Storage Manager")</f>
        <v>Hitachi Tiered Storage Manager</v>
      </c>
      <c r="B3505" s="4" t="s">
        <v>1513</v>
      </c>
      <c r="C3505" s="8" t="s">
        <v>5</v>
      </c>
      <c r="D3505" s="11" t="s">
        <v>1602</v>
      </c>
    </row>
    <row r="3506" spans="1:4" ht="30">
      <c r="A3506" s="5" t="str">
        <f>HYPERLINK("https://www.oit.va.gov/Services/TRM/ToolPage.aspx?tid=10899^","Hitachi Tuning Manager")</f>
        <v>Hitachi Tuning Manager</v>
      </c>
      <c r="B3506" s="4" t="s">
        <v>1513</v>
      </c>
      <c r="C3506" s="8" t="s">
        <v>5</v>
      </c>
      <c r="D3506" s="11" t="s">
        <v>2643</v>
      </c>
    </row>
    <row r="3507" spans="1:4" ht="30">
      <c r="A3507" s="5" t="str">
        <f>HYPERLINK("https://www.oit.va.gov/Services/TRM/ToolPage.aspx?tid=10761^","Hitachi Device Manager")</f>
        <v>Hitachi Device Manager</v>
      </c>
      <c r="B3507" s="4" t="s">
        <v>1513</v>
      </c>
      <c r="C3507" s="8" t="s">
        <v>5</v>
      </c>
      <c r="D3507" s="11" t="s">
        <v>1601</v>
      </c>
    </row>
    <row r="3508" spans="1:4" ht="30">
      <c r="A3508" s="5" t="str">
        <f>HYPERLINK("https://www.oit.va.gov/Services/TRM/ToolPage.aspx?tid=14944^","Hitachi Data Protection Suite")</f>
        <v>Hitachi Data Protection Suite</v>
      </c>
      <c r="B3508" s="4" t="s">
        <v>1513</v>
      </c>
      <c r="C3508" s="8" t="s">
        <v>5</v>
      </c>
      <c r="D3508" s="11" t="s">
        <v>4724</v>
      </c>
    </row>
    <row r="3509" spans="1:4" ht="30">
      <c r="A3509" s="5" t="str">
        <f>HYPERLINK("https://www.oit.va.gov/Services/TRM/ToolPage.aspx?tid=9776^","Business Continuity Manager (BCM)")</f>
        <v>Business Continuity Manager (BCM)</v>
      </c>
      <c r="B3509" s="4" t="s">
        <v>1513</v>
      </c>
      <c r="C3509" s="8" t="s">
        <v>5</v>
      </c>
      <c r="D3509" s="11" t="s">
        <v>6368</v>
      </c>
    </row>
    <row r="3510" spans="1:4" ht="30">
      <c r="A3510" s="5" t="str">
        <f>HYPERLINK("https://www.oit.va.gov/Services/TRM/ToolPage.aspx?tid=13797^","Compute Systems Manager (HCSM)")</f>
        <v>Compute Systems Manager (HCSM)</v>
      </c>
      <c r="B3510" s="4" t="s">
        <v>1513</v>
      </c>
      <c r="C3510" s="8" t="s">
        <v>5</v>
      </c>
      <c r="D3510" s="11" t="s">
        <v>6449</v>
      </c>
    </row>
    <row r="3511" spans="1:4" ht="30">
      <c r="A3511" s="5" t="str">
        <f>HYPERLINK("https://www.oit.va.gov/Services/TRM/ToolPage.aspx?tid=11235^","JP1/Performance Management")</f>
        <v>JP1/Performance Management</v>
      </c>
      <c r="B3511" s="4" t="s">
        <v>1513</v>
      </c>
      <c r="C3511" s="8" t="s">
        <v>5</v>
      </c>
      <c r="D3511" s="11" t="s">
        <v>5218</v>
      </c>
    </row>
    <row r="3512" spans="1:4" ht="30">
      <c r="A3512" s="5" t="str">
        <f>HYPERLINK("https://www.oit.va.gov/Services/TRM/ToolPage.aspx?tid=7531^","StarBoard Whiteboard Software")</f>
        <v>StarBoard Whiteboard Software</v>
      </c>
      <c r="B3512" s="4" t="s">
        <v>1513</v>
      </c>
      <c r="C3512" s="8" t="s">
        <v>5</v>
      </c>
      <c r="D3512" s="11" t="s">
        <v>8724</v>
      </c>
    </row>
    <row r="3513" spans="1:4" ht="30">
      <c r="A3513" s="5" t="str">
        <f>HYPERLINK("https://www.oit.va.gov/Services/TRM/ToolPage.aspx?tid=6653^","Pentaho Data Integration (PDI)")</f>
        <v>Pentaho Data Integration (PDI)</v>
      </c>
      <c r="B3513" s="4" t="s">
        <v>805</v>
      </c>
      <c r="C3513" s="8" t="s">
        <v>5</v>
      </c>
      <c r="D3513" s="11" t="s">
        <v>806</v>
      </c>
    </row>
    <row r="3514" spans="1:4" ht="30">
      <c r="A3514" s="5" t="str">
        <f>HYPERLINK("https://www.oit.va.gov/Services/TRM/ToolPage.aspx?tid=13795^","Hitachi Automation Director (HAD)")</f>
        <v>Hitachi Automation Director (HAD)</v>
      </c>
      <c r="B3514" s="4" t="s">
        <v>805</v>
      </c>
      <c r="C3514" s="8" t="s">
        <v>5</v>
      </c>
      <c r="D3514" s="11" t="s">
        <v>6690</v>
      </c>
    </row>
    <row r="3515" spans="1:4" ht="30">
      <c r="A3515" s="5" t="str">
        <f>HYPERLINK("https://www.oit.va.gov/Services/TRM/ToolPage.aspx?tid=8179^","Hive Universal Storage X (USX)")</f>
        <v>Hive Universal Storage X (USX)</v>
      </c>
      <c r="B3515" s="4" t="s">
        <v>2256</v>
      </c>
      <c r="C3515" s="8" t="s">
        <v>5</v>
      </c>
      <c r="D3515" s="11" t="s">
        <v>2257</v>
      </c>
    </row>
    <row r="3516" spans="1:4" ht="30">
      <c r="A3516" s="5" t="str">
        <f>HYPERLINK("https://www.oit.va.gov/Services/TRM/StandardPage.aspx?tid=16382^","HL7 Version 2.5.1 Implementation Guide: Electronic Laboratory Reporting to Public Health")</f>
        <v>HL7 Version 2.5.1 Implementation Guide: Electronic Laboratory Reporting to Public Health</v>
      </c>
      <c r="B3516" s="4" t="s">
        <v>306</v>
      </c>
      <c r="C3516" s="8" t="s">
        <v>5</v>
      </c>
      <c r="D3516" s="11" t="s">
        <v>307</v>
      </c>
    </row>
    <row r="3517" spans="1:4" ht="30">
      <c r="A3517" s="5" t="str">
        <f>HYPERLINK("https://www.oit.va.gov/Services/TRM/StandardPage.aspx?tid=16454^","HL7 Version 3 Standard: Privacy and Security Architecture Framework")</f>
        <v>HL7 Version 3 Standard: Privacy and Security Architecture Framework</v>
      </c>
      <c r="B3517" s="4" t="s">
        <v>306</v>
      </c>
      <c r="C3517" s="8" t="s">
        <v>5</v>
      </c>
      <c r="D3517" s="11" t="s">
        <v>308</v>
      </c>
    </row>
    <row r="3518" spans="1:4" ht="30">
      <c r="A3518" s="5" t="str">
        <f>HYPERLINK("https://www.oit.va.gov/Services/TRM/StandardPage.aspx?tid=6352^","Health Level Seven (HL7) Clinical Document Architecture (CDA)")</f>
        <v>Health Level Seven (HL7) Clinical Document Architecture (CDA)</v>
      </c>
      <c r="B3518" s="4" t="s">
        <v>306</v>
      </c>
      <c r="C3518" s="8" t="s">
        <v>5</v>
      </c>
      <c r="D3518" s="11" t="s">
        <v>694</v>
      </c>
    </row>
    <row r="3519" spans="1:4" ht="30">
      <c r="A3519" s="5" t="str">
        <f>HYPERLINK("https://www.oit.va.gov/Services/TRM/StandardPage.aspx?tid=8328^","Health Level Seven (HL7) Version Two (V2) Product Suite")</f>
        <v>Health Level Seven (HL7) Version Two (V2) Product Suite</v>
      </c>
      <c r="B3519" s="4" t="s">
        <v>306</v>
      </c>
      <c r="C3519" s="8" t="s">
        <v>5</v>
      </c>
      <c r="D3519" s="11" t="s">
        <v>695</v>
      </c>
    </row>
    <row r="3520" spans="1:4" ht="45">
      <c r="A3520" s="5" t="str">
        <f>HYPERLINK("https://www.oit.va.gov/Services/TRM/StandardPage.aspx?tid=16381^","HL7 Implementation Guide for Clinical Document Architecture (CDA) Release 2: Quality Reporting Document Architecture (QRDA)")</f>
        <v>HL7 Implementation Guide for Clinical Document Architecture (CDA) Release 2: Quality Reporting Document Architecture (QRDA)</v>
      </c>
      <c r="B3520" s="4" t="s">
        <v>306</v>
      </c>
      <c r="C3520" s="8" t="s">
        <v>5</v>
      </c>
      <c r="D3520" s="11" t="s">
        <v>700</v>
      </c>
    </row>
    <row r="3521" spans="1:4" ht="30">
      <c r="A3521" s="5" t="str">
        <f>HYPERLINK("https://www.oit.va.gov/Services/TRM/ToolPage.aspx?tid=253^","Messaging Workbench (MWB)")</f>
        <v>Messaging Workbench (MWB)</v>
      </c>
      <c r="B3521" s="4" t="s">
        <v>306</v>
      </c>
      <c r="C3521" s="8" t="s">
        <v>5</v>
      </c>
      <c r="D3521" s="11" t="s">
        <v>756</v>
      </c>
    </row>
    <row r="3522" spans="1:4" ht="45">
      <c r="A3522" s="5" t="str">
        <f>HYPERLINK("https://www.oit.va.gov/Services/TRM/StandardPage.aspx?tid=8289^","Health Level Seven (HL7) Clinical Document Architecture (CDA) Release Two (R2) Implementation Guide: Consolidated CDA Templates for Clinical Notes")</f>
        <v>Health Level Seven (HL7) Clinical Document Architecture (CDA) Release Two (R2) Implementation Guide: Consolidated CDA Templates for Clinical Notes</v>
      </c>
      <c r="B3522" s="4" t="s">
        <v>306</v>
      </c>
      <c r="C3522" s="8" t="s">
        <v>5</v>
      </c>
      <c r="D3522" s="11" t="s">
        <v>1011</v>
      </c>
    </row>
    <row r="3523" spans="1:4" ht="30">
      <c r="A3523" s="5" t="str">
        <f>HYPERLINK("https://www.oit.va.gov/Services/TRM/StandardPage.aspx?tid=8290^","Health Level Seven (HL7) Electronic Health Record (EHR) System Functional Model")</f>
        <v>Health Level Seven (HL7) Electronic Health Record (EHR) System Functional Model</v>
      </c>
      <c r="B3523" s="4" t="s">
        <v>306</v>
      </c>
      <c r="C3523" s="8" t="s">
        <v>5</v>
      </c>
      <c r="D3523" s="11" t="s">
        <v>694</v>
      </c>
    </row>
    <row r="3524" spans="1:4" ht="30">
      <c r="A3524" s="5" t="str">
        <f>HYPERLINK("https://www.oit.va.gov/Services/TRM/StandardPage.aspx?tid=16787^","Clinical Quality Language (CQL)")</f>
        <v>Clinical Quality Language (CQL)</v>
      </c>
      <c r="B3524" s="4" t="s">
        <v>306</v>
      </c>
      <c r="C3524" s="8" t="s">
        <v>5</v>
      </c>
      <c r="D3524" s="11" t="s">
        <v>3651</v>
      </c>
    </row>
    <row r="3525" spans="1:4" ht="30">
      <c r="A3525" s="5" t="str">
        <f>HYPERLINK("https://www.oit.va.gov/Services/TRM/ToolPage.aspx?tid=12838^","Fast Healthcare Interoperability Resources (FHIR) Validator")</f>
        <v>Fast Healthcare Interoperability Resources (FHIR) Validator</v>
      </c>
      <c r="B3525" s="4" t="s">
        <v>306</v>
      </c>
      <c r="C3525" s="8" t="s">
        <v>5</v>
      </c>
      <c r="D3525" s="11" t="s">
        <v>4123</v>
      </c>
    </row>
    <row r="3526" spans="1:4" ht="30">
      <c r="A3526" s="5" t="str">
        <f>HYPERLINK("https://www.oit.va.gov/Services/TRM/StandardPage.aspx?tid=6353^","Health Level Seven (HL7) Standard Code Set Clinical Vaccines (CVX): Vaccines Administered")</f>
        <v>Health Level Seven (HL7) Standard Code Set Clinical Vaccines (CVX): Vaccines Administered</v>
      </c>
      <c r="B3526" s="4" t="s">
        <v>306</v>
      </c>
      <c r="C3526" s="8" t="s">
        <v>5</v>
      </c>
      <c r="D3526" s="11" t="s">
        <v>4215</v>
      </c>
    </row>
    <row r="3527" spans="1:4" ht="30">
      <c r="A3527" s="5" t="str">
        <f>HYPERLINK("https://www.oit.va.gov/Services/TRM/StandardPage.aspx?tid=6354^","Health Level Seven (HL7) Standard Code Set MVX: Manufacturers of Vaccines")</f>
        <v>Health Level Seven (HL7) Standard Code Set MVX: Manufacturers of Vaccines</v>
      </c>
      <c r="B3527" s="4" t="s">
        <v>306</v>
      </c>
      <c r="C3527" s="8" t="s">
        <v>5</v>
      </c>
      <c r="D3527" s="11" t="s">
        <v>4216</v>
      </c>
    </row>
    <row r="3528" spans="1:4" ht="30">
      <c r="A3528" s="5" t="str">
        <f>HYPERLINK("https://www.oit.va.gov/Services/TRM/StandardPage.aspx?tid=9528^","HL7 Clinical Genomics; Pedigree Model")</f>
        <v>HL7 Clinical Genomics; Pedigree Model</v>
      </c>
      <c r="B3528" s="4" t="s">
        <v>306</v>
      </c>
      <c r="C3528" s="8" t="s">
        <v>5</v>
      </c>
      <c r="D3528" s="11" t="s">
        <v>4226</v>
      </c>
    </row>
    <row r="3529" spans="1:4" ht="30">
      <c r="A3529" s="5" t="str">
        <f>HYPERLINK("https://www.oit.va.gov/Services/TRM/StandardPage.aspx?tid=8233^","Fast Healthcare Interoperability Resources Specification (FHIR)")</f>
        <v>Fast Healthcare Interoperability Resources Specification (FHIR)</v>
      </c>
      <c r="B3529" s="4" t="s">
        <v>306</v>
      </c>
      <c r="C3529" s="8" t="s">
        <v>5</v>
      </c>
      <c r="D3529" s="11" t="s">
        <v>121</v>
      </c>
    </row>
    <row r="3530" spans="1:4" ht="30">
      <c r="A3530" s="5" t="str">
        <f>HYPERLINK("https://www.oit.va.gov/Services/TRM/StandardPage.aspx?tid=16310^","FHIR Bulk Data Access (Flat FHIR)")</f>
        <v>FHIR Bulk Data Access (Flat FHIR)</v>
      </c>
      <c r="B3530" s="4" t="s">
        <v>306</v>
      </c>
      <c r="C3530" s="8" t="s">
        <v>5</v>
      </c>
      <c r="D3530" s="11" t="s">
        <v>5196</v>
      </c>
    </row>
    <row r="3531" spans="1:4" ht="30">
      <c r="A3531" s="5" t="str">
        <f>HYPERLINK("https://www.oit.va.gov/Services/TRM/StandardPage.aspx?tid=8329^","Health Level Seven (HL7) Version Three (V3) Product Suite")</f>
        <v>Health Level Seven (HL7) Version Three (V3) Product Suite</v>
      </c>
      <c r="B3531" s="4" t="s">
        <v>306</v>
      </c>
      <c r="C3531" s="8" t="s">
        <v>5</v>
      </c>
      <c r="D3531" s="11" t="s">
        <v>1247</v>
      </c>
    </row>
    <row r="3532" spans="1:4" ht="30">
      <c r="A3532" s="5" t="str">
        <f>HYPERLINK("https://www.oit.va.gov/Services/TRM/StandardPage.aspx?tid=16311^","HL7 SMART Application Launch Framework")</f>
        <v>HL7 SMART Application Launch Framework</v>
      </c>
      <c r="B3532" s="4" t="s">
        <v>306</v>
      </c>
      <c r="C3532" s="8" t="s">
        <v>5</v>
      </c>
      <c r="D3532" s="11" t="s">
        <v>5230</v>
      </c>
    </row>
    <row r="3533" spans="1:4" ht="30">
      <c r="A3533" s="5" t="str">
        <f>HYPERLINK("https://www.oit.va.gov/Services/TRM/StandardPage.aspx?tid=9524^","Health Level Seven (HL7) Healthcare Privacy and Security Classification System (HCS)")</f>
        <v>Health Level Seven (HL7) Healthcare Privacy and Security Classification System (HCS)</v>
      </c>
      <c r="B3533" s="4" t="s">
        <v>306</v>
      </c>
      <c r="C3533" s="8" t="s">
        <v>5</v>
      </c>
      <c r="D3533" s="11" t="s">
        <v>4216</v>
      </c>
    </row>
    <row r="3534" spans="1:4" ht="30">
      <c r="A3534" s="5" t="str">
        <f>HYPERLINK("https://www.oit.va.gov/Services/TRM/StandardPage.aspx?tid=9523^","HL7 Data Segmentation for Privacy (DS4P)")</f>
        <v>HL7 Data Segmentation for Privacy (DS4P)</v>
      </c>
      <c r="B3534" s="4" t="s">
        <v>306</v>
      </c>
      <c r="C3534" s="8" t="s">
        <v>5</v>
      </c>
      <c r="D3534" s="11" t="s">
        <v>4216</v>
      </c>
    </row>
    <row r="3535" spans="1:4" ht="30">
      <c r="A3535" s="5" t="str">
        <f>HYPERLINK("https://www.oit.va.gov/Services/TRM/StandardPage.aspx?tid=6836^","Health Level Seven (HL7) Identification and Cross-Reference Service (IXS)")</f>
        <v>Health Level Seven (HL7) Identification and Cross-Reference Service (IXS)</v>
      </c>
      <c r="B3535" s="4" t="s">
        <v>306</v>
      </c>
      <c r="C3535" s="8" t="s">
        <v>5</v>
      </c>
      <c r="D3535" s="11" t="s">
        <v>6655</v>
      </c>
    </row>
    <row r="3536" spans="1:4" ht="30">
      <c r="A3536" s="5" t="str">
        <f>HYPERLINK("https://www.oit.va.gov/Services/TRM/StandardPage.aspx?tid=9583^","Health Level 7 (HL7) Version 3 Standard: Privacy, Access, and Security Services (PASS) Security Labeling Service (SLS)")</f>
        <v>Health Level 7 (HL7) Version 3 Standard: Privacy, Access, and Security Services (PASS) Security Labeling Service (SLS)</v>
      </c>
      <c r="B3536" s="4" t="s">
        <v>306</v>
      </c>
      <c r="C3536" s="8" t="s">
        <v>5</v>
      </c>
      <c r="D3536" s="11" t="s">
        <v>8016</v>
      </c>
    </row>
    <row r="3537" spans="1:4" ht="45">
      <c r="A3537" s="5" t="str">
        <f>HYPERLINK("https://www.oit.va.gov/Services/TRM/StandardPage.aspx?tid=16453^","Health Level Seven (HL7) Clinical Document Architecture (CDA) Release Two (R2) Implementation Guide: Healthcare Associated Infection (HAI) Reports")</f>
        <v>Health Level Seven (HL7) Clinical Document Architecture (CDA) Release Two (R2) Implementation Guide: Healthcare Associated Infection (HAI) Reports</v>
      </c>
      <c r="B3537" s="4" t="s">
        <v>306</v>
      </c>
      <c r="C3537" s="8" t="s">
        <v>5</v>
      </c>
      <c r="D3537" s="11" t="s">
        <v>8017</v>
      </c>
    </row>
    <row r="3538" spans="1:4" ht="45">
      <c r="A3538" s="5" t="str">
        <f>HYPERLINK("https://www.oit.va.gov/Services/TRM/StandardPage.aspx?tid=16455^","Health Level Seven (HL7) Clinical Document Architecture (CDA) Release Two (R2) Implementation Guide: National Health Care Surveys (NHCS)")</f>
        <v>Health Level Seven (HL7) Clinical Document Architecture (CDA) Release Two (R2) Implementation Guide: National Health Care Surveys (NHCS)</v>
      </c>
      <c r="B3538" s="4" t="s">
        <v>306</v>
      </c>
      <c r="C3538" s="8" t="s">
        <v>5</v>
      </c>
      <c r="D3538" s="11" t="s">
        <v>8018</v>
      </c>
    </row>
    <row r="3539" spans="1:4" ht="45">
      <c r="A3539" s="5" t="str">
        <f>HYPERLINK("https://www.oit.va.gov/Services/TRM/StandardPage.aspx?tid=16452^","Health Level Seven (HL7) Clinical Document Architecture (CDA) Release Two (R2): Reporting to Public Health Cancer Registries from Ambulatory Healthcare Providers")</f>
        <v>Health Level Seven (HL7) Clinical Document Architecture (CDA) Release Two (R2): Reporting to Public Health Cancer Registries from Ambulatory Healthcare Providers</v>
      </c>
      <c r="B3539" s="4" t="s">
        <v>306</v>
      </c>
      <c r="C3539" s="8" t="s">
        <v>5</v>
      </c>
      <c r="D3539" s="11" t="s">
        <v>8017</v>
      </c>
    </row>
    <row r="3540" spans="1:4" ht="30">
      <c r="A3540" s="5" t="str">
        <f>HYPERLINK("https://www.oit.va.gov/Services/TRM/StandardPage.aspx?tid=13730^","Health Level Seven (HL7) Privacy, Access and Security Services (PASS) Access Control Services Conceptual Model")</f>
        <v>Health Level Seven (HL7) Privacy, Access and Security Services (PASS) Access Control Services Conceptual Model</v>
      </c>
      <c r="B3540" s="4" t="s">
        <v>306</v>
      </c>
      <c r="C3540" s="8" t="s">
        <v>5</v>
      </c>
      <c r="D3540" s="11" t="s">
        <v>8019</v>
      </c>
    </row>
    <row r="3541" spans="1:4" ht="30">
      <c r="A3541" s="5" t="str">
        <f>HYPERLINK("https://www.oit.va.gov/Services/TRM/StandardPage.aspx?tid=14135^","Health Level Seven (HL7) Version 3 Standard: Healthcare (Security and Privacy) Access Control Catalog")</f>
        <v>Health Level Seven (HL7) Version 3 Standard: Healthcare (Security and Privacy) Access Control Catalog</v>
      </c>
      <c r="B3541" s="4" t="s">
        <v>306</v>
      </c>
      <c r="C3541" s="8" t="s">
        <v>5</v>
      </c>
      <c r="D3541" s="11" t="s">
        <v>7481</v>
      </c>
    </row>
    <row r="3542" spans="1:4" ht="30">
      <c r="A3542" s="5" t="str">
        <f>HYPERLINK("https://www.oit.va.gov/Services/TRM/StandardPage.aspx?tid=14136^","Health Level Seven (HL7) Version 3 Standard: Security and Privacy Ontology")</f>
        <v>Health Level Seven (HL7) Version 3 Standard: Security and Privacy Ontology</v>
      </c>
      <c r="B3542" s="4" t="s">
        <v>306</v>
      </c>
      <c r="C3542" s="8" t="s">
        <v>5</v>
      </c>
      <c r="D3542" s="11" t="s">
        <v>7481</v>
      </c>
    </row>
    <row r="3543" spans="1:4" ht="45">
      <c r="A3543" s="5" t="str">
        <f>HYPERLINK("https://www.oit.va.gov/Services/TRM/StandardPage.aspx?tid=8293^","Health Level Seven (HL7)/American Society for Testing and Materials (ASTM) Implementation Guide for CDA Release Two (R2) - Continuity of Care Document (CCD)")</f>
        <v>Health Level Seven (HL7)/American Society for Testing and Materials (ASTM) Implementation Guide for CDA Release Two (R2) - Continuity of Care Document (CCD)</v>
      </c>
      <c r="B3543" s="4" t="s">
        <v>306</v>
      </c>
      <c r="C3543" s="8" t="s">
        <v>5</v>
      </c>
      <c r="D3543" s="11" t="s">
        <v>1247</v>
      </c>
    </row>
    <row r="3544" spans="1:4" ht="30">
      <c r="A3544" s="5" t="str">
        <f>HYPERLINK("https://www.oit.va.gov/Services/TRM/StandardPage.aspx?tid=9455^","HL7 CDA R2 Implementation Guide: Patient Friendly Language for Consumer User Interfaces")</f>
        <v>HL7 CDA R2 Implementation Guide: Patient Friendly Language for Consumer User Interfaces</v>
      </c>
      <c r="B3544" s="4" t="s">
        <v>306</v>
      </c>
      <c r="C3544" s="8" t="s">
        <v>5</v>
      </c>
      <c r="D3544" s="11" t="s">
        <v>7492</v>
      </c>
    </row>
    <row r="3545" spans="1:4" ht="30">
      <c r="A3545" s="5" t="str">
        <f>HYPERLINK("https://www.oit.va.gov/Services/TRM/StandardPage.aspx?tid=14134^","HL7 Clinical Document Architecture (CDA) Release Two (R2) Implementation Guide: Privacy Consent Directives")</f>
        <v>HL7 Clinical Document Architecture (CDA) Release Two (R2) Implementation Guide: Privacy Consent Directives</v>
      </c>
      <c r="B3545" s="4" t="s">
        <v>306</v>
      </c>
      <c r="C3545" s="8" t="s">
        <v>5</v>
      </c>
      <c r="D3545" s="11" t="s">
        <v>8030</v>
      </c>
    </row>
    <row r="3546" spans="1:4" ht="30">
      <c r="A3546" s="5" t="str">
        <f>HYPERLINK("https://www.oit.va.gov/Services/TRM/StandardPage.aspx?tid=14140^","HL7 Implementation Guide: Data Segmentation for Privacy (DS4P)")</f>
        <v>HL7 Implementation Guide: Data Segmentation for Privacy (DS4P)</v>
      </c>
      <c r="B3546" s="4" t="s">
        <v>306</v>
      </c>
      <c r="C3546" s="8" t="s">
        <v>5</v>
      </c>
      <c r="D3546" s="11" t="s">
        <v>7481</v>
      </c>
    </row>
    <row r="3547" spans="1:4" ht="30">
      <c r="A3547" s="5" t="str">
        <f>HYPERLINK("https://www.oit.va.gov/Services/TRM/ToolPage.aspx?tid=7603^","Clinical Decision Support Administration Tool (CAT)")</f>
        <v>Clinical Decision Support Administration Tool (CAT)</v>
      </c>
      <c r="B3547" s="4" t="s">
        <v>3217</v>
      </c>
      <c r="C3547" s="8" t="s">
        <v>5</v>
      </c>
      <c r="D3547" s="11" t="s">
        <v>3218</v>
      </c>
    </row>
    <row r="3548" spans="1:4" ht="30">
      <c r="A3548" s="5" t="str">
        <f>HYPERLINK("https://www.oit.va.gov/Services/TRM/ToolPage.aspx?tid=7619^","Immunization Calculation Engine (ICE)")</f>
        <v>Immunization Calculation Engine (ICE)</v>
      </c>
      <c r="B3548" s="4" t="s">
        <v>3217</v>
      </c>
      <c r="C3548" s="8" t="s">
        <v>5</v>
      </c>
      <c r="D3548" s="11" t="s">
        <v>90</v>
      </c>
    </row>
    <row r="3549" spans="1:4" ht="30">
      <c r="A3549" s="5" t="str">
        <f>HYPERLINK("https://www.oit.va.gov/Services/TRM/ToolPage.aspx?tid=15506^","Human Neocortical Neurosolver (HNN)")</f>
        <v>Human Neocortical Neurosolver (HNN)</v>
      </c>
      <c r="B3549" s="4" t="s">
        <v>6695</v>
      </c>
      <c r="C3549" s="8" t="s">
        <v>5</v>
      </c>
      <c r="D3549" s="11" t="s">
        <v>6696</v>
      </c>
    </row>
    <row r="3550" spans="1:4" ht="30">
      <c r="A3550" s="5" t="str">
        <f>HYPERLINK("https://www.oit.va.gov/Services/TRM/ToolPage.aspx?tid=11755^","Hola VPN")</f>
        <v>Hola VPN</v>
      </c>
      <c r="B3550" s="4" t="s">
        <v>8031</v>
      </c>
      <c r="C3550" s="8" t="s">
        <v>5</v>
      </c>
      <c r="D3550" s="11" t="s">
        <v>6690</v>
      </c>
    </row>
    <row r="3551" spans="1:4" ht="30">
      <c r="A3551" s="5" t="str">
        <f>HYPERLINK("https://www.oit.va.gov/Services/TRM/ToolPage.aspx?tid=11171^","Score Electroencephalography (EEG)")</f>
        <v>Score Electroencephalography (EEG)</v>
      </c>
      <c r="B3551" s="4" t="s">
        <v>8597</v>
      </c>
      <c r="C3551" s="8" t="s">
        <v>5</v>
      </c>
      <c r="D3551" s="11" t="s">
        <v>3512</v>
      </c>
    </row>
    <row r="3552" spans="1:4" ht="30">
      <c r="A3552" s="5" t="str">
        <f>HYPERLINK("https://www.oit.va.gov/Services/TRM/ToolPage.aspx?tid=9042^","Holladay Intraocular Lens (IOL) Consultant &amp; Surgical Outcomes Assessment")</f>
        <v>Holladay Intraocular Lens (IOL) Consultant &amp; Surgical Outcomes Assessment</v>
      </c>
      <c r="B3552" s="4" t="s">
        <v>6691</v>
      </c>
      <c r="C3552" s="8" t="s">
        <v>5</v>
      </c>
      <c r="D3552" s="11" t="s">
        <v>2690</v>
      </c>
    </row>
    <row r="3553" spans="1:4" ht="30">
      <c r="A3553" s="5" t="str">
        <f>HYPERLINK("https://www.oit.va.gov/Services/TRM/ToolPage.aspx?tid=14654^","PatchCleaner")</f>
        <v>PatchCleaner</v>
      </c>
      <c r="B3553" s="4" t="s">
        <v>8399</v>
      </c>
      <c r="C3553" s="8" t="s">
        <v>5</v>
      </c>
      <c r="D3553" s="11" t="s">
        <v>7755</v>
      </c>
    </row>
    <row r="3554" spans="1:4" ht="30">
      <c r="A3554" s="5" t="str">
        <f>HYPERLINK("https://www.oit.va.gov/Services/TRM/ToolPage.aspx?tid=14425^","VHS to DVD")</f>
        <v>VHS to DVD</v>
      </c>
      <c r="B3554" s="4" t="s">
        <v>8869</v>
      </c>
      <c r="C3554" s="8" t="s">
        <v>5</v>
      </c>
      <c r="D3554" s="11" t="s">
        <v>8870</v>
      </c>
    </row>
    <row r="3555" spans="1:4" ht="30">
      <c r="A3555" s="5" t="str">
        <f>HYPERLINK("https://www.oit.va.gov/Services/TRM/ToolPage.aspx?tid=8724^","Ascent Compass")</f>
        <v>Ascent Compass</v>
      </c>
      <c r="B3555" s="4" t="s">
        <v>577</v>
      </c>
      <c r="C3555" s="8" t="s">
        <v>5</v>
      </c>
      <c r="D3555" s="11" t="s">
        <v>578</v>
      </c>
    </row>
    <row r="3556" spans="1:4" ht="30">
      <c r="A3556" s="5" t="str">
        <f>HYPERLINK("https://www.oit.va.gov/Services/TRM/ToolPage.aspx?tid=14575^","Honeywell Software Download Manager")</f>
        <v>Honeywell Software Download Manager</v>
      </c>
      <c r="B3556" s="4" t="s">
        <v>577</v>
      </c>
      <c r="C3556" s="8" t="s">
        <v>5</v>
      </c>
      <c r="D3556" s="11" t="s">
        <v>703</v>
      </c>
    </row>
    <row r="3557" spans="1:4" ht="30">
      <c r="A3557" s="5" t="str">
        <f>HYPERLINK("https://www.oit.va.gov/Services/TRM/ToolPage.aspx?tid=16480^","EzConfig")</f>
        <v>EzConfig</v>
      </c>
      <c r="B3557" s="4" t="s">
        <v>577</v>
      </c>
      <c r="C3557" s="8" t="s">
        <v>5</v>
      </c>
      <c r="D3557" s="11" t="s">
        <v>1966</v>
      </c>
    </row>
    <row r="3558" spans="1:4" ht="30">
      <c r="A3558" s="5" t="str">
        <f>HYPERLINK("https://www.oit.va.gov/Services/TRM/ToolPage.aspx?tid=7418^","Pro-Watch Integrated Security Suite")</f>
        <v>Pro-Watch Integrated Security Suite</v>
      </c>
      <c r="B3558" s="4" t="s">
        <v>577</v>
      </c>
      <c r="C3558" s="8" t="s">
        <v>5</v>
      </c>
      <c r="D3558" s="11" t="s">
        <v>2886</v>
      </c>
    </row>
    <row r="3559" spans="1:4" ht="30">
      <c r="A3559" s="5" t="str">
        <f>HYPERLINK("https://www.oit.va.gov/Services/TRM/ToolPage.aspx?tid=6412^","Win-Pak")</f>
        <v>Win-Pak</v>
      </c>
      <c r="B3559" s="4" t="s">
        <v>577</v>
      </c>
      <c r="C3559" s="8" t="s">
        <v>5</v>
      </c>
      <c r="D3559" s="11" t="s">
        <v>3086</v>
      </c>
    </row>
    <row r="3560" spans="1:4" ht="30">
      <c r="A3560" s="5" t="str">
        <f>HYPERLINK("https://www.oit.va.gov/Services/TRM/ToolPage.aspx?tid=9709^","InterDriver")</f>
        <v>InterDriver</v>
      </c>
      <c r="B3560" s="4" t="s">
        <v>577</v>
      </c>
      <c r="C3560" s="8" t="s">
        <v>5</v>
      </c>
      <c r="D3560" s="11" t="s">
        <v>4185</v>
      </c>
    </row>
    <row r="3561" spans="1:4" ht="30">
      <c r="A3561" s="5" t="str">
        <f>HYPERLINK("https://www.oit.va.gov/Services/TRM/ToolPage.aspx?tid=15539^","Honeywell Operational Intelligence (OpIntel)")</f>
        <v>Honeywell Operational Intelligence (OpIntel)</v>
      </c>
      <c r="B3561" s="4" t="s">
        <v>577</v>
      </c>
      <c r="C3561" s="8" t="s">
        <v>5</v>
      </c>
      <c r="D3561" s="11" t="s">
        <v>5231</v>
      </c>
    </row>
    <row r="3562" spans="1:4" ht="30">
      <c r="A3562" s="5" t="str">
        <f>HYPERLINK("https://www.oit.va.gov/Services/TRM/ToolPage.aspx?tid=16882^","Honeywell Command Line Scanner Management Utility Tool")</f>
        <v>Honeywell Command Line Scanner Management Utility Tool</v>
      </c>
      <c r="B3562" s="4" t="s">
        <v>577</v>
      </c>
      <c r="C3562" s="8" t="s">
        <v>5</v>
      </c>
      <c r="D3562" s="11" t="s">
        <v>433</v>
      </c>
    </row>
    <row r="3563" spans="1:4" ht="30">
      <c r="A3563" s="5" t="str">
        <f>HYPERLINK("https://www.oit.va.gov/Services/TRM/ToolPage.aspx?tid=5956^","EasySet")</f>
        <v>EasySet</v>
      </c>
      <c r="B3563" s="4" t="s">
        <v>577</v>
      </c>
      <c r="C3563" s="8" t="s">
        <v>5</v>
      </c>
      <c r="D3563" s="11" t="s">
        <v>7753</v>
      </c>
    </row>
    <row r="3564" spans="1:4" ht="30">
      <c r="A3564" s="5" t="str">
        <f>HYPERLINK("https://www.oit.va.gov/Services/TRM/ToolPage.aspx?tid=14260^","Honeywell E-Mon Energy")</f>
        <v>Honeywell E-Mon Energy</v>
      </c>
      <c r="B3564" s="4" t="s">
        <v>577</v>
      </c>
      <c r="C3564" s="8" t="s">
        <v>5</v>
      </c>
      <c r="D3564" s="11" t="s">
        <v>7582</v>
      </c>
    </row>
    <row r="3565" spans="1:4" ht="30">
      <c r="A3565" s="5" t="str">
        <f>HYPERLINK("https://www.oit.va.gov/Services/TRM/ToolPage.aspx?tid=9631^","Honeywell PrintSet")</f>
        <v>Honeywell PrintSet</v>
      </c>
      <c r="B3565" s="4" t="s">
        <v>577</v>
      </c>
      <c r="C3565" s="8" t="s">
        <v>5</v>
      </c>
      <c r="D3565" s="11" t="s">
        <v>8034</v>
      </c>
    </row>
    <row r="3566" spans="1:4" ht="30">
      <c r="A3566" s="5" t="str">
        <f>HYPERLINK("https://www.oit.va.gov/Services/TRM/ToolPage.aspx?tid=9621^","MaxPro Log Software")</f>
        <v>MaxPro Log Software</v>
      </c>
      <c r="B3566" s="4" t="s">
        <v>3376</v>
      </c>
      <c r="C3566" s="8" t="s">
        <v>5</v>
      </c>
      <c r="D3566" s="11" t="s">
        <v>3377</v>
      </c>
    </row>
    <row r="3567" spans="1:4" ht="30">
      <c r="A3567" s="5" t="str">
        <f>HYPERLINK("https://www.oit.va.gov/Services/TRM/ToolPage.aspx?tid=14514^","Horos")</f>
        <v>Horos</v>
      </c>
      <c r="B3567" s="4" t="s">
        <v>5860</v>
      </c>
      <c r="C3567" s="8" t="s">
        <v>5</v>
      </c>
      <c r="D3567" s="11" t="s">
        <v>2637</v>
      </c>
    </row>
    <row r="3568" spans="1:4" ht="30">
      <c r="A3568" s="5" t="str">
        <f>HYPERLINK("https://www.oit.va.gov/Services/TRM/ToolPage.aspx?tid=8670^","HoverCam Flex")</f>
        <v>HoverCam Flex</v>
      </c>
      <c r="B3568" s="4" t="s">
        <v>8039</v>
      </c>
      <c r="C3568" s="8" t="s">
        <v>5</v>
      </c>
      <c r="D3568" s="11" t="s">
        <v>8040</v>
      </c>
    </row>
    <row r="3569" spans="1:4" ht="30">
      <c r="A3569" s="5" t="str">
        <f>HYPERLINK("https://www.oit.va.gov/Services/TRM/ToolPage.aspx?tid=10401^","Power Manager")</f>
        <v>Power Manager</v>
      </c>
      <c r="B3569" s="4" t="s">
        <v>1847</v>
      </c>
      <c r="C3569" s="8" t="s">
        <v>5</v>
      </c>
      <c r="D3569" s="11" t="s">
        <v>1848</v>
      </c>
    </row>
    <row r="3570" spans="1:4" ht="30">
      <c r="A3570" s="5" t="str">
        <f>HYPERLINK("https://www.oit.va.gov/Services/TRM/ToolPage.aspx?tid=8659^","Med Manager")</f>
        <v>Med Manager</v>
      </c>
      <c r="B3570" s="4" t="s">
        <v>1847</v>
      </c>
      <c r="C3570" s="8" t="s">
        <v>5</v>
      </c>
      <c r="D3570" s="11" t="s">
        <v>4392</v>
      </c>
    </row>
    <row r="3571" spans="1:4" ht="30">
      <c r="A3571" s="5" t="str">
        <f>HYPERLINK("https://www.oit.va.gov/Services/TRM/ToolPage.aspx?tid=6044^","Med Display")</f>
        <v>Med Display</v>
      </c>
      <c r="B3571" s="4" t="s">
        <v>1847</v>
      </c>
      <c r="C3571" s="8" t="s">
        <v>5</v>
      </c>
      <c r="D3571" s="11" t="s">
        <v>5331</v>
      </c>
    </row>
    <row r="3572" spans="1:4" ht="30">
      <c r="A3572" s="5" t="str">
        <f>HYPERLINK("https://www.oit.va.gov/Services/TRM/ToolPage.aspx?tid=5913^","Clinical Assistant")</f>
        <v>Clinical Assistant</v>
      </c>
      <c r="B3572" s="4" t="s">
        <v>1847</v>
      </c>
      <c r="C3572" s="8" t="s">
        <v>5</v>
      </c>
      <c r="D3572" s="11" t="s">
        <v>6404</v>
      </c>
    </row>
    <row r="3573" spans="1:4" ht="30">
      <c r="A3573" s="5" t="str">
        <f>HYPERLINK("https://www.oit.va.gov/Services/TRM/ToolPage.aspx?tid=9034^","Power System Remote Monitoring (PSRM)")</f>
        <v>Power System Remote Monitoring (PSRM)</v>
      </c>
      <c r="B3573" s="4" t="s">
        <v>1847</v>
      </c>
      <c r="C3573" s="8" t="s">
        <v>5</v>
      </c>
      <c r="D3573" s="11" t="s">
        <v>8274</v>
      </c>
    </row>
    <row r="3574" spans="1:4" ht="30">
      <c r="A3574" s="5" t="str">
        <f>HYPERLINK("https://www.oit.va.gov/Services/TRM/ToolPage.aspx?tid=14935^","PowerDisplay")</f>
        <v>PowerDisplay</v>
      </c>
      <c r="B3574" s="4" t="s">
        <v>1847</v>
      </c>
      <c r="C3574" s="8" t="s">
        <v>5</v>
      </c>
      <c r="D3574" s="11" t="s">
        <v>3454</v>
      </c>
    </row>
    <row r="3575" spans="1:4" ht="30">
      <c r="A3575" s="5" t="str">
        <f>HYPERLINK("https://www.oit.va.gov/Services/TRM/ToolPage.aspx?tid=10571^","Smart Document Scan Software")</f>
        <v>Smart Document Scan Software</v>
      </c>
      <c r="B3575" s="4" t="s">
        <v>856</v>
      </c>
      <c r="C3575" s="8" t="s">
        <v>5</v>
      </c>
      <c r="D3575" s="11" t="s">
        <v>857</v>
      </c>
    </row>
    <row r="3576" spans="1:4" ht="30">
      <c r="A3576" s="5" t="str">
        <f>HYPERLINK("https://www.oit.va.gov/Services/TRM/ToolPage.aspx?tid=14629^","Hewlett Packard (HP) Office Jet 3830 Series Basic Driver")</f>
        <v>Hewlett Packard (HP) Office Jet 3830 Series Basic Driver</v>
      </c>
      <c r="B3576" s="4" t="s">
        <v>856</v>
      </c>
      <c r="C3576" s="8" t="s">
        <v>5</v>
      </c>
      <c r="D3576" s="11" t="s">
        <v>1592</v>
      </c>
    </row>
    <row r="3577" spans="1:4" ht="30">
      <c r="A3577" s="5" t="str">
        <f>HYPERLINK("https://www.oit.va.gov/Services/TRM/ToolPage.aspx?tid=6467^","Hewlett Packard Enterprise Integrated Lights-Out (HPE iLO) Integrated Remote Console")</f>
        <v>Hewlett Packard Enterprise Integrated Lights-Out (HPE iLO) Integrated Remote Console</v>
      </c>
      <c r="B3577" s="4" t="s">
        <v>856</v>
      </c>
      <c r="C3577" s="8" t="s">
        <v>5</v>
      </c>
      <c r="D3577" s="11" t="s">
        <v>1593</v>
      </c>
    </row>
    <row r="3578" spans="1:4" ht="30">
      <c r="A3578" s="5" t="str">
        <f>HYPERLINK("https://www.oit.va.gov/Services/TRM/ToolPage.aspx?tid=8346^","HP Web Jetadmin")</f>
        <v>HP Web Jetadmin</v>
      </c>
      <c r="B3578" s="4" t="s">
        <v>856</v>
      </c>
      <c r="C3578" s="8" t="s">
        <v>5</v>
      </c>
      <c r="D3578" s="11" t="s">
        <v>1603</v>
      </c>
    </row>
    <row r="3579" spans="1:4" ht="30">
      <c r="A3579" s="5" t="str">
        <f>HYPERLINK("https://www.oit.va.gov/Services/TRM/ToolPage.aspx?tid=7471^","HP P6000 Command View Software")</f>
        <v>HP P6000 Command View Software</v>
      </c>
      <c r="B3579" s="4" t="s">
        <v>856</v>
      </c>
      <c r="C3579" s="8" t="s">
        <v>5</v>
      </c>
      <c r="D3579" s="11" t="s">
        <v>2644</v>
      </c>
    </row>
    <row r="3580" spans="1:4" ht="30">
      <c r="A3580" s="5" t="str">
        <f>HYPERLINK("https://www.oit.va.gov/Services/TRM/ToolPage.aspx?tid=13135^","LDAP-UX Integration")</f>
        <v>LDAP-UX Integration</v>
      </c>
      <c r="B3580" s="4" t="s">
        <v>856</v>
      </c>
      <c r="C3580" s="8" t="s">
        <v>5</v>
      </c>
      <c r="D3580" s="11" t="s">
        <v>3359</v>
      </c>
    </row>
    <row r="3581" spans="1:4" ht="30">
      <c r="A3581" s="5" t="str">
        <f>HYPERLINK("https://www.oit.va.gov/Services/TRM/ToolPage.aspx?tid=14617^","Hewlett Packard (HP) Officejet 4500 G510")</f>
        <v>Hewlett Packard (HP) Officejet 4500 G510</v>
      </c>
      <c r="B3581" s="4" t="s">
        <v>856</v>
      </c>
      <c r="C3581" s="8" t="s">
        <v>5</v>
      </c>
      <c r="D3581" s="11" t="s">
        <v>1592</v>
      </c>
    </row>
    <row r="3582" spans="1:4" ht="30">
      <c r="A3582" s="5" t="str">
        <f>HYPERLINK("https://www.oit.va.gov/Services/TRM/ToolPage.aspx?tid=14634^","HP Click Silent Version")</f>
        <v>HP Click Silent Version</v>
      </c>
      <c r="B3582" s="4" t="s">
        <v>856</v>
      </c>
      <c r="C3582" s="8" t="s">
        <v>5</v>
      </c>
      <c r="D3582" s="11" t="s">
        <v>1608</v>
      </c>
    </row>
    <row r="3583" spans="1:4" ht="30">
      <c r="A3583" s="5" t="str">
        <f>HYPERLINK("https://www.oit.va.gov/Services/TRM/ToolPage.aspx?tid=15362^","HP SmartStream 3D Build Manager")</f>
        <v>HP SmartStream 3D Build Manager</v>
      </c>
      <c r="B3583" s="4" t="s">
        <v>856</v>
      </c>
      <c r="C3583" s="8" t="s">
        <v>5</v>
      </c>
      <c r="D3583" s="11" t="s">
        <v>1608</v>
      </c>
    </row>
    <row r="3584" spans="1:4" ht="30">
      <c r="A3584" s="5" t="str">
        <f>HYPERLINK("https://www.oit.va.gov/Services/TRM/ToolPage.aspx?tid=16232^","HP Support Assistant")</f>
        <v>HP Support Assistant</v>
      </c>
      <c r="B3584" s="4" t="s">
        <v>856</v>
      </c>
      <c r="C3584" s="8" t="s">
        <v>5</v>
      </c>
      <c r="D3584" s="11" t="s">
        <v>1243</v>
      </c>
    </row>
    <row r="3585" spans="1:4" ht="30">
      <c r="A3585" s="5" t="str">
        <f>HYPERLINK("https://www.oit.va.gov/Services/TRM/ToolPage.aspx?tid=10419^","Three-Dimensional (3D) DriveGuard")</f>
        <v>Three-Dimensional (3D) DriveGuard</v>
      </c>
      <c r="B3585" s="4" t="s">
        <v>856</v>
      </c>
      <c r="C3585" s="8" t="s">
        <v>5</v>
      </c>
      <c r="D3585" s="11" t="s">
        <v>3572</v>
      </c>
    </row>
    <row r="3586" spans="1:4" ht="30">
      <c r="A3586" s="5" t="str">
        <f>HYPERLINK("https://www.oit.va.gov/Services/TRM/ToolPage.aspx?tid=13055^","Hewlett Packard Unix (HP-UX) Directory Server")</f>
        <v>Hewlett Packard Unix (HP-UX) Directory Server</v>
      </c>
      <c r="B3586" s="4" t="s">
        <v>856</v>
      </c>
      <c r="C3586" s="8" t="s">
        <v>5</v>
      </c>
      <c r="D3586" s="11" t="s">
        <v>5228</v>
      </c>
    </row>
    <row r="3587" spans="1:4" ht="30">
      <c r="A3587" s="5" t="str">
        <f>HYPERLINK("https://www.oit.va.gov/Services/TRM/ToolPage.aspx?tid=16219^","Hewlett-Packard (HP) Google Drive Plugin")</f>
        <v>Hewlett-Packard (HP) Google Drive Plugin</v>
      </c>
      <c r="B3587" s="4" t="s">
        <v>856</v>
      </c>
      <c r="C3587" s="8" t="s">
        <v>5</v>
      </c>
      <c r="D3587" s="11" t="s">
        <v>5229</v>
      </c>
    </row>
    <row r="3588" spans="1:4" ht="30">
      <c r="A3588" s="5" t="str">
        <f>HYPERLINK("https://www.oit.va.gov/Services/TRM/ToolPage.aspx?tid=10215^","Basic Input/Output System (BIOS) Configuration Utility (BCU)")</f>
        <v>Basic Input/Output System (BIOS) Configuration Utility (BCU)</v>
      </c>
      <c r="B3588" s="4" t="s">
        <v>856</v>
      </c>
      <c r="C3588" s="8" t="s">
        <v>5</v>
      </c>
      <c r="D3588" s="11" t="s">
        <v>122</v>
      </c>
    </row>
    <row r="3589" spans="1:4" ht="30">
      <c r="A3589" s="5" t="str">
        <f>HYPERLINK("https://www.oit.va.gov/Services/TRM/ToolPage.aspx?tid=5170^","Java Runtime Environment (JRE) for Hewlett-Packard UNIX (HP-UX)")</f>
        <v>Java Runtime Environment (JRE) for Hewlett-Packard UNIX (HP-UX)</v>
      </c>
      <c r="B3589" s="4" t="s">
        <v>856</v>
      </c>
      <c r="C3589" s="8" t="s">
        <v>5</v>
      </c>
      <c r="D3589" s="11" t="s">
        <v>5370</v>
      </c>
    </row>
    <row r="3590" spans="1:4" ht="30">
      <c r="A3590" s="5" t="str">
        <f>HYPERLINK("https://www.oit.va.gov/Services/TRM/ToolPage.aspx?tid=6288^","Service Test")</f>
        <v>Service Test</v>
      </c>
      <c r="B3590" s="4" t="s">
        <v>856</v>
      </c>
      <c r="C3590" s="8" t="s">
        <v>5</v>
      </c>
      <c r="D3590" s="11" t="s">
        <v>7131</v>
      </c>
    </row>
    <row r="3591" spans="1:4" ht="30">
      <c r="A3591" s="5" t="str">
        <f>HYPERLINK("https://www.oit.va.gov/Services/TRM/ToolPage.aspx?tid=6227^","Shunra NetworkCatcher")</f>
        <v>Shunra NetworkCatcher</v>
      </c>
      <c r="B3591" s="4" t="s">
        <v>856</v>
      </c>
      <c r="C3591" s="8" t="s">
        <v>5</v>
      </c>
      <c r="D3591" s="11" t="s">
        <v>6511</v>
      </c>
    </row>
    <row r="3592" spans="1:4" ht="30">
      <c r="A3592" s="5" t="str">
        <f>HYPERLINK("https://www.oit.va.gov/Services/TRM/ToolPage.aspx?tid=11321^","System Software Manager")</f>
        <v>System Software Manager</v>
      </c>
      <c r="B3592" s="4" t="s">
        <v>856</v>
      </c>
      <c r="C3592" s="8" t="s">
        <v>5</v>
      </c>
      <c r="D3592" s="11" t="s">
        <v>7204</v>
      </c>
    </row>
    <row r="3593" spans="1:4" ht="30">
      <c r="A3593" s="5" t="str">
        <f>HYPERLINK("https://www.oit.va.gov/Services/TRM/ToolPage.aspx?tid=10771^","Electronic Print (ePrint) and Share")</f>
        <v>Electronic Print (ePrint) and Share</v>
      </c>
      <c r="B3593" s="4" t="s">
        <v>856</v>
      </c>
      <c r="C3593" s="8" t="s">
        <v>5</v>
      </c>
      <c r="D3593" s="11" t="s">
        <v>7007</v>
      </c>
    </row>
    <row r="3594" spans="1:4" ht="30">
      <c r="A3594" s="5" t="str">
        <f>HYPERLINK("https://www.oit.va.gov/Services/TRM/ToolPage.aspx?tid=12999^","FontSmart")</f>
        <v>FontSmart</v>
      </c>
      <c r="B3594" s="4" t="s">
        <v>856</v>
      </c>
      <c r="C3594" s="8" t="s">
        <v>5</v>
      </c>
      <c r="D3594" s="11" t="s">
        <v>7608</v>
      </c>
    </row>
    <row r="3595" spans="1:4" ht="30">
      <c r="A3595" s="5" t="str">
        <f>HYPERLINK("https://www.oit.va.gov/Services/TRM/ToolPage.aspx?tid=13021^","Hewlett Packard Unix (HP-UX) Mobile Internet Protocol version 6 (IPv6)")</f>
        <v>Hewlett Packard Unix (HP-UX) Mobile Internet Protocol version 6 (IPv6)</v>
      </c>
      <c r="B3595" s="4" t="s">
        <v>856</v>
      </c>
      <c r="C3595" s="8" t="s">
        <v>5</v>
      </c>
      <c r="D3595" s="11" t="s">
        <v>8024</v>
      </c>
    </row>
    <row r="3596" spans="1:4" ht="30">
      <c r="A3596" s="5" t="str">
        <f>HYPERLINK("https://www.oit.va.gov/Services/TRM/ToolPage.aspx?tid=5931^","Hewlett-Packard (HP) Photo Creations")</f>
        <v>Hewlett-Packard (HP) Photo Creations</v>
      </c>
      <c r="B3596" s="4" t="s">
        <v>856</v>
      </c>
      <c r="C3596" s="8" t="s">
        <v>5</v>
      </c>
      <c r="D3596" s="11" t="s">
        <v>8025</v>
      </c>
    </row>
    <row r="3597" spans="1:4" ht="30">
      <c r="A3597" s="5" t="str">
        <f>HYPERLINK("https://www.oit.va.gov/Services/TRM/ToolPage.aspx?tid=14361^","HP Storage Provisioning Manager (SPM)")</f>
        <v>HP Storage Provisioning Manager (SPM)</v>
      </c>
      <c r="B3597" s="4" t="s">
        <v>856</v>
      </c>
      <c r="C3597" s="8" t="s">
        <v>5</v>
      </c>
      <c r="D3597" s="11" t="s">
        <v>5132</v>
      </c>
    </row>
    <row r="3598" spans="1:4" ht="30">
      <c r="A3598" s="5" t="str">
        <f>HYPERLINK("https://www.oit.va.gov/Services/TRM/ToolPage.aspx?tid=6^","HP-UX")</f>
        <v>HP-UX</v>
      </c>
      <c r="B3598" s="4" t="s">
        <v>856</v>
      </c>
      <c r="C3598" s="8" t="s">
        <v>5</v>
      </c>
      <c r="D3598" s="11" t="s">
        <v>8041</v>
      </c>
    </row>
    <row r="3599" spans="1:4" ht="30">
      <c r="A3599" s="5" t="str">
        <f>HYPERLINK("https://www.oit.va.gov/Services/TRM/ToolPage.aspx?tid=12944^","Ignite-UX")</f>
        <v>Ignite-UX</v>
      </c>
      <c r="B3599" s="4" t="s">
        <v>856</v>
      </c>
      <c r="C3599" s="8" t="s">
        <v>5</v>
      </c>
      <c r="D3599" s="11" t="s">
        <v>6750</v>
      </c>
    </row>
    <row r="3600" spans="1:4" ht="30">
      <c r="A3600" s="5" t="str">
        <f>HYPERLINK("https://www.oit.va.gov/Services/TRM/ToolPage.aspx?tid=14362^","Insight Control")</f>
        <v>Insight Control</v>
      </c>
      <c r="B3600" s="4" t="s">
        <v>856</v>
      </c>
      <c r="C3600" s="8" t="s">
        <v>5</v>
      </c>
      <c r="D3600" s="11" t="s">
        <v>2644</v>
      </c>
    </row>
    <row r="3601" spans="1:4" ht="30">
      <c r="A3601" s="5" t="str">
        <f>HYPERLINK("https://www.oit.va.gov/Services/TRM/ToolPage.aspx?tid=14486^","Interwoven VisualFormat")</f>
        <v>Interwoven VisualFormat</v>
      </c>
      <c r="B3601" s="4" t="s">
        <v>856</v>
      </c>
      <c r="C3601" s="8" t="s">
        <v>5</v>
      </c>
      <c r="D3601" s="11" t="s">
        <v>5116</v>
      </c>
    </row>
    <row r="3602" spans="1:4" ht="30">
      <c r="A3602" s="5" t="str">
        <f>HYPERLINK("https://www.oit.va.gov/Services/TRM/ToolPage.aspx?tid=13246^","Mobile IPv4")</f>
        <v>Mobile IPv4</v>
      </c>
      <c r="B3602" s="4" t="s">
        <v>856</v>
      </c>
      <c r="C3602" s="8" t="s">
        <v>5</v>
      </c>
      <c r="D3602" s="11" t="s">
        <v>8275</v>
      </c>
    </row>
    <row r="3603" spans="1:4" ht="30">
      <c r="A3603" s="5" t="str">
        <f>HYPERLINK("https://www.oit.va.gov/Services/TRM/ToolPage.aspx?tid=5484^","OpenVMS")</f>
        <v>OpenVMS</v>
      </c>
      <c r="B3603" s="4" t="s">
        <v>856</v>
      </c>
      <c r="C3603" s="8" t="s">
        <v>5</v>
      </c>
      <c r="D3603" s="11" t="s">
        <v>5038</v>
      </c>
    </row>
    <row r="3604" spans="1:4" ht="30">
      <c r="A3604" s="5" t="str">
        <f>HYPERLINK("https://www.oit.va.gov/Services/TRM/ToolPage.aspx?tid=11670^","Remote Graphics Software (RGS)")</f>
        <v>Remote Graphics Software (RGS)</v>
      </c>
      <c r="B3604" s="4" t="s">
        <v>856</v>
      </c>
      <c r="C3604" s="8" t="s">
        <v>5</v>
      </c>
      <c r="D3604" s="11" t="s">
        <v>8558</v>
      </c>
    </row>
    <row r="3605" spans="1:4" ht="30">
      <c r="A3605" s="5" t="str">
        <f>HYPERLINK("https://www.oit.va.gov/Services/TRM/ToolPage.aspx?tid=10416^","Shop for HP Supplies")</f>
        <v>Shop for HP Supplies</v>
      </c>
      <c r="B3605" s="4" t="s">
        <v>856</v>
      </c>
      <c r="C3605" s="8" t="s">
        <v>5</v>
      </c>
      <c r="D3605" s="11" t="s">
        <v>8639</v>
      </c>
    </row>
    <row r="3606" spans="1:4" ht="30">
      <c r="A3606" s="5" t="str">
        <f>HYPERLINK("https://www.oit.va.gov/Services/TRM/ToolPage.aspx?tid=10291^","Smart Web Printing")</f>
        <v>Smart Web Printing</v>
      </c>
      <c r="B3606" s="4" t="s">
        <v>856</v>
      </c>
      <c r="C3606" s="8" t="s">
        <v>5</v>
      </c>
      <c r="D3606" s="11" t="s">
        <v>8676</v>
      </c>
    </row>
    <row r="3607" spans="1:4" ht="30">
      <c r="A3607" s="5" t="str">
        <f>HYPERLINK("https://www.oit.va.gov/Services/TRM/ToolPage.aspx?tid=10572^","SoftPaq Download Manager")</f>
        <v>SoftPaq Download Manager</v>
      </c>
      <c r="B3607" s="4" t="s">
        <v>856</v>
      </c>
      <c r="C3607" s="8" t="s">
        <v>5</v>
      </c>
      <c r="D3607" s="11" t="s">
        <v>8686</v>
      </c>
    </row>
    <row r="3608" spans="1:4" ht="30">
      <c r="A3608" s="5" t="str">
        <f>HYPERLINK("https://www.oit.va.gov/Services/TRM/ToolPage.aspx?tid=14640^","Hewlett Packard (HP) Print Preview")</f>
        <v>Hewlett Packard (HP) Print Preview</v>
      </c>
      <c r="B3608" s="4" t="s">
        <v>1012</v>
      </c>
      <c r="C3608" s="8" t="s">
        <v>5</v>
      </c>
      <c r="D3608" s="11" t="s">
        <v>550</v>
      </c>
    </row>
    <row r="3609" spans="1:4" ht="30">
      <c r="A3609" s="5" t="str">
        <f>HYPERLINK("https://www.oit.va.gov/Services/TRM/ToolPage.aspx?tid=14909^","Fleet Admin Pro")</f>
        <v>Fleet Admin Pro</v>
      </c>
      <c r="B3609" s="4" t="s">
        <v>1012</v>
      </c>
      <c r="C3609" s="8" t="s">
        <v>5</v>
      </c>
      <c r="D3609" s="11" t="s">
        <v>2254</v>
      </c>
    </row>
    <row r="3610" spans="1:4" ht="30">
      <c r="A3610" s="5" t="str">
        <f>HYPERLINK("https://www.oit.va.gov/Services/TRM/ToolPage.aspx?tid=11595^","Photosmart Essential")</f>
        <v>Photosmart Essential</v>
      </c>
      <c r="B3610" s="4" t="s">
        <v>1012</v>
      </c>
      <c r="C3610" s="8" t="s">
        <v>5</v>
      </c>
      <c r="D3610" s="11" t="s">
        <v>3453</v>
      </c>
    </row>
    <row r="3611" spans="1:4" ht="30">
      <c r="A3611" s="5" t="str">
        <f>HYPERLINK("https://www.oit.va.gov/Services/TRM/ToolPage.aspx?tid=7041^","CodeSource")</f>
        <v>CodeSource</v>
      </c>
      <c r="B3611" s="4" t="s">
        <v>950</v>
      </c>
      <c r="C3611" s="8" t="s">
        <v>5</v>
      </c>
      <c r="D3611" s="11" t="s">
        <v>951</v>
      </c>
    </row>
    <row r="3612" spans="1:4" ht="30">
      <c r="A3612" s="5" t="str">
        <f>HYPERLINK("https://www.oit.va.gov/Services/TRM/ToolPage.aspx?tid=16315^","HPE OneView")</f>
        <v>HPE OneView</v>
      </c>
      <c r="B3612" s="4" t="s">
        <v>2650</v>
      </c>
      <c r="C3612" s="8" t="s">
        <v>5</v>
      </c>
      <c r="D3612" s="11" t="s">
        <v>2591</v>
      </c>
    </row>
    <row r="3613" spans="1:4" ht="30">
      <c r="A3613" s="5" t="str">
        <f>HYPERLINK("https://www.oit.va.gov/Services/TRM/ToolPage.aspx?tid=11664^","Insight Management Web-based Enterprise Management (WBEM) Providers")</f>
        <v>Insight Management Web-based Enterprise Management (WBEM) Providers</v>
      </c>
      <c r="B3613" s="4" t="s">
        <v>2650</v>
      </c>
      <c r="C3613" s="8" t="s">
        <v>5</v>
      </c>
      <c r="D3613" s="11" t="s">
        <v>3697</v>
      </c>
    </row>
    <row r="3614" spans="1:4" ht="30">
      <c r="A3614" s="5" t="str">
        <f>HYPERLINK("https://www.oit.va.gov/Services/TRM/ToolPage.aspx?tid=10435^","System Management Homepage (SMH)")</f>
        <v>System Management Homepage (SMH)</v>
      </c>
      <c r="B3614" s="4" t="s">
        <v>2650</v>
      </c>
      <c r="C3614" s="8" t="s">
        <v>5</v>
      </c>
      <c r="D3614" s="11" t="s">
        <v>53</v>
      </c>
    </row>
    <row r="3615" spans="1:4" ht="30">
      <c r="A3615" s="5" t="str">
        <f>HYPERLINK("https://www.oit.va.gov/Services/TRM/ToolPage.aspx?tid=10477^","Library and Tape Tools (L&amp;TT)")</f>
        <v>Library and Tape Tools (L&amp;TT)</v>
      </c>
      <c r="B3615" s="4" t="s">
        <v>2650</v>
      </c>
      <c r="C3615" s="8" t="s">
        <v>5</v>
      </c>
      <c r="D3615" s="11" t="s">
        <v>2698</v>
      </c>
    </row>
    <row r="3616" spans="1:4" ht="30">
      <c r="A3616" s="5" t="str">
        <f>HYPERLINK("https://www.oit.va.gov/Services/TRM/ToolPage.aspx?tid=13037^","Process Resource Manager (PRM)")</f>
        <v>Process Resource Manager (PRM)</v>
      </c>
      <c r="B3616" s="4" t="s">
        <v>2650</v>
      </c>
      <c r="C3616" s="8" t="s">
        <v>5</v>
      </c>
      <c r="D3616" s="11" t="s">
        <v>5443</v>
      </c>
    </row>
    <row r="3617" spans="1:4" ht="30">
      <c r="A3617" s="5" t="str">
        <f>HYPERLINK("https://www.oit.va.gov/Services/TRM/ToolPage.aspx?tid=10427^","HP Version Control Agent")</f>
        <v>HP Version Control Agent</v>
      </c>
      <c r="B3617" s="4" t="s">
        <v>2650</v>
      </c>
      <c r="C3617" s="8" t="s">
        <v>5</v>
      </c>
      <c r="D3617" s="11" t="s">
        <v>4756</v>
      </c>
    </row>
    <row r="3618" spans="1:4" ht="30">
      <c r="A3618" s="5" t="str">
        <f>HYPERLINK("https://www.oit.va.gov/Services/TRM/ToolPage.aspx?tid=11443^","Array Configuration Utility")</f>
        <v>Array Configuration Utility</v>
      </c>
      <c r="B3618" s="4" t="s">
        <v>2650</v>
      </c>
      <c r="C3618" s="8" t="s">
        <v>5</v>
      </c>
      <c r="D3618" s="11" t="s">
        <v>3090</v>
      </c>
    </row>
    <row r="3619" spans="1:4" ht="30">
      <c r="A3619" s="5" t="str">
        <f>HYPERLINK("https://www.oit.va.gov/Services/TRM/ToolPage.aspx?tid=10517^","Array Diagnostic Utility (ADU)")</f>
        <v>Array Diagnostic Utility (ADU)</v>
      </c>
      <c r="B3619" s="4" t="s">
        <v>2650</v>
      </c>
      <c r="C3619" s="8" t="s">
        <v>5</v>
      </c>
      <c r="D3619" s="11" t="s">
        <v>2033</v>
      </c>
    </row>
    <row r="3620" spans="1:4" ht="30">
      <c r="A3620" s="5" t="str">
        <f>HYPERLINK("https://www.oit.va.gov/Services/TRM/ToolPage.aspx?tid=13099^","Bastille")</f>
        <v>Bastille</v>
      </c>
      <c r="B3620" s="4" t="s">
        <v>2650</v>
      </c>
      <c r="C3620" s="8" t="s">
        <v>5</v>
      </c>
      <c r="D3620" s="11" t="s">
        <v>6715</v>
      </c>
    </row>
    <row r="3621" spans="1:4" ht="30">
      <c r="A3621" s="5" t="str">
        <f>HYPERLINK("https://www.oit.va.gov/Services/TRM/ToolPage.aspx?tid=12988^","Caliper")</f>
        <v>Caliper</v>
      </c>
      <c r="B3621" s="4" t="s">
        <v>2650</v>
      </c>
      <c r="C3621" s="8" t="s">
        <v>5</v>
      </c>
      <c r="D3621" s="11" t="s">
        <v>7604</v>
      </c>
    </row>
    <row r="3622" spans="1:4" ht="30">
      <c r="A3622" s="5" t="str">
        <f>HYPERLINK("https://www.oit.va.gov/Services/TRM/ToolPage.aspx?tid=14270^","Event Monitoring Service (EMS)")</f>
        <v>Event Monitoring Service (EMS)</v>
      </c>
      <c r="B3622" s="4" t="s">
        <v>2650</v>
      </c>
      <c r="C3622" s="8" t="s">
        <v>5</v>
      </c>
      <c r="D3622" s="11" t="s">
        <v>7880</v>
      </c>
    </row>
    <row r="3623" spans="1:4" ht="30">
      <c r="A3623" s="5" t="str">
        <f>HYPERLINK("https://www.oit.va.gov/Services/TRM/ToolPage.aspx?tid=14273^","HPE Enterprise SQL Optimizer (ESO)")</f>
        <v>HPE Enterprise SQL Optimizer (ESO)</v>
      </c>
      <c r="B3623" s="4" t="s">
        <v>2650</v>
      </c>
      <c r="C3623" s="8" t="s">
        <v>5</v>
      </c>
      <c r="D3623" s="11" t="s">
        <v>5458</v>
      </c>
    </row>
    <row r="3624" spans="1:4" ht="30">
      <c r="A3624" s="5" t="str">
        <f>HYPERLINK("https://www.oit.va.gov/Services/TRM/ToolPage.aspx?tid=11462^","HPE StoreVirtual VSA Software")</f>
        <v>HPE StoreVirtual VSA Software</v>
      </c>
      <c r="B3624" s="4" t="s">
        <v>2650</v>
      </c>
      <c r="C3624" s="8" t="s">
        <v>5</v>
      </c>
      <c r="D3624" s="11" t="s">
        <v>6770</v>
      </c>
    </row>
    <row r="3625" spans="1:4" ht="30">
      <c r="A3625" s="5" t="str">
        <f>HYPERLINK("https://www.oit.va.gov/Services/TRM/ToolPage.aspx?tid=10496^","MyRoom")</f>
        <v>MyRoom</v>
      </c>
      <c r="B3625" s="4" t="s">
        <v>2650</v>
      </c>
      <c r="C3625" s="8" t="s">
        <v>5</v>
      </c>
      <c r="D3625" s="11" t="s">
        <v>8297</v>
      </c>
    </row>
    <row r="3626" spans="1:4" ht="30">
      <c r="A3626" s="5" t="str">
        <f>HYPERLINK("https://www.oit.va.gov/Services/TRM/ToolPage.aspx?tid=10756^","Hyper Structured Query Language (HyperSQL) Database")</f>
        <v>Hyper Structured Query Language (HyperSQL) Database</v>
      </c>
      <c r="B3626" s="4" t="s">
        <v>3328</v>
      </c>
      <c r="C3626" s="8" t="s">
        <v>5</v>
      </c>
      <c r="D3626" s="11" t="s">
        <v>3329</v>
      </c>
    </row>
    <row r="3627" spans="1:4" ht="30">
      <c r="A3627" s="5" t="str">
        <f>HYPERLINK("https://www.oit.va.gov/Services/TRM/ToolPage.aspx?tid=13862^","HTC Sync Manager")</f>
        <v>HTC Sync Manager</v>
      </c>
      <c r="B3627" s="4" t="s">
        <v>8042</v>
      </c>
      <c r="C3627" s="8" t="s">
        <v>5</v>
      </c>
      <c r="D3627" s="11" t="s">
        <v>8043</v>
      </c>
    </row>
    <row r="3628" spans="1:4" ht="30">
      <c r="A3628" s="5" t="str">
        <f>HYPERLINK("https://www.oit.va.gov/Services/TRM/ToolPage.aspx?tid=16820^","HTCondor")</f>
        <v>HTCondor</v>
      </c>
      <c r="B3628" s="4" t="s">
        <v>1604</v>
      </c>
      <c r="C3628" s="8" t="s">
        <v>5</v>
      </c>
      <c r="D3628" s="11" t="s">
        <v>1605</v>
      </c>
    </row>
    <row r="3629" spans="1:4" ht="30">
      <c r="A3629" s="5" t="str">
        <f>HYPERLINK("https://www.oit.va.gov/Services/TRM/ToolPage.aspx?tid=7753^","Home Therapy System (HTS) iNet")</f>
        <v>Home Therapy System (HTS) iNet</v>
      </c>
      <c r="B3629" s="4" t="s">
        <v>5858</v>
      </c>
      <c r="C3629" s="8" t="s">
        <v>5</v>
      </c>
      <c r="D3629" s="11" t="s">
        <v>5859</v>
      </c>
    </row>
    <row r="3630" spans="1:4" ht="30">
      <c r="A3630" s="5" t="str">
        <f>HYPERLINK("https://www.oit.va.gov/Services/TRM/ToolPage.aspx?tid=8032^","Huddle")</f>
        <v>Huddle</v>
      </c>
      <c r="B3630" s="4" t="s">
        <v>6693</v>
      </c>
      <c r="C3630" s="8" t="s">
        <v>5</v>
      </c>
      <c r="D3630" s="11" t="s">
        <v>6694</v>
      </c>
    </row>
    <row r="3631" spans="1:4" ht="30">
      <c r="A3631" s="5" t="str">
        <f>HYPERLINK("https://www.oit.va.gov/Services/TRM/ToolPage.aspx?tid=14392^","KeyTrail")</f>
        <v>KeyTrail</v>
      </c>
      <c r="B3631" s="4" t="s">
        <v>6767</v>
      </c>
      <c r="C3631" s="8" t="s">
        <v>5</v>
      </c>
      <c r="D3631" s="11" t="s">
        <v>6768</v>
      </c>
    </row>
    <row r="3632" spans="1:4" ht="30">
      <c r="A3632" s="5" t="str">
        <f>HYPERLINK("https://www.oit.va.gov/Services/TRM/ToolPage.aspx?tid=14278^","Hudson Lock Key Trail")</f>
        <v>Hudson Lock Key Trail</v>
      </c>
      <c r="B3632" s="4" t="s">
        <v>6767</v>
      </c>
      <c r="C3632" s="8" t="s">
        <v>5</v>
      </c>
      <c r="D3632" s="11" t="s">
        <v>2637</v>
      </c>
    </row>
    <row r="3633" spans="1:4" ht="30">
      <c r="A3633" s="5" t="str">
        <f>HYPERLINK("https://www.oit.va.gov/Services/TRM/ToolPage.aspx?tid=14247^","MasterKing Program")</f>
        <v>MasterKing Program</v>
      </c>
      <c r="B3633" s="4" t="s">
        <v>6767</v>
      </c>
      <c r="C3633" s="8" t="s">
        <v>5</v>
      </c>
      <c r="D3633" s="11" t="s">
        <v>8224</v>
      </c>
    </row>
    <row r="3634" spans="1:4" ht="30">
      <c r="A3634" s="5" t="str">
        <f>HYPERLINK("https://www.oit.va.gov/Services/TRM/ToolPage.aspx?tid=16597^","Electronic Bulletin Boards")</f>
        <v>Electronic Bulletin Boards</v>
      </c>
      <c r="B3634" s="4" t="s">
        <v>6567</v>
      </c>
      <c r="C3634" s="8" t="s">
        <v>5</v>
      </c>
      <c r="D3634" s="11" t="s">
        <v>6568</v>
      </c>
    </row>
    <row r="3635" spans="1:4" ht="30">
      <c r="A3635" s="5" t="str">
        <f>HYPERLINK("https://www.oit.va.gov/Services/TRM/ToolPage.aspx?tid=7532^","HUGIN Explorer")</f>
        <v>HUGIN Explorer</v>
      </c>
      <c r="B3635" s="4" t="s">
        <v>1606</v>
      </c>
      <c r="C3635" s="8" t="s">
        <v>5</v>
      </c>
      <c r="D3635" s="11" t="s">
        <v>753</v>
      </c>
    </row>
    <row r="3636" spans="1:4" ht="30">
      <c r="A3636" s="5" t="str">
        <f>HYPERLINK("https://www.oit.va.gov/Services/TRM/StandardPage.aspx?tid=5226^","Human Gene Nomenclature (HGN)")</f>
        <v>Human Gene Nomenclature (HGN)</v>
      </c>
      <c r="B3636" s="4" t="s">
        <v>4235</v>
      </c>
      <c r="C3636" s="8" t="s">
        <v>5</v>
      </c>
      <c r="D3636" s="11" t="s">
        <v>4236</v>
      </c>
    </row>
    <row r="3637" spans="1:4" ht="30">
      <c r="A3637" s="5" t="str">
        <f>HYPERLINK("https://www.oit.va.gov/Services/TRM/ToolPage.aspx?tid=16749^","Hunchly")</f>
        <v>Hunchly</v>
      </c>
      <c r="B3637" s="4" t="s">
        <v>85</v>
      </c>
      <c r="C3637" s="8" t="s">
        <v>5</v>
      </c>
      <c r="D3637" s="11" t="s">
        <v>86</v>
      </c>
    </row>
    <row r="3638" spans="1:4" ht="30">
      <c r="A3638" s="5" t="str">
        <f>HYPERLINK("https://www.oit.va.gov/Services/TRM/ToolPage.aspx?tid=14307^","Huron Healthcare Revenue Workflow Management Tools")</f>
        <v>Huron Healthcare Revenue Workflow Management Tools</v>
      </c>
      <c r="B3638" s="4" t="s">
        <v>419</v>
      </c>
      <c r="C3638" s="8" t="s">
        <v>5</v>
      </c>
      <c r="D3638" s="11" t="s">
        <v>420</v>
      </c>
    </row>
    <row r="3639" spans="1:4" ht="30">
      <c r="A3639" s="5" t="str">
        <f>HYPERLINK("https://www.oit.va.gov/Services/TRM/ToolPage.aspx?tid=15597^","Heating, Ventilation and Air Conditioning (HVAC) Solution - Professional with Revit Connection")</f>
        <v>Heating, Ventilation and Air Conditioning (HVAC) Solution - Professional with Revit Connection</v>
      </c>
      <c r="B3639" s="4" t="s">
        <v>5851</v>
      </c>
      <c r="C3639" s="8" t="s">
        <v>5</v>
      </c>
      <c r="D3639" s="11" t="s">
        <v>5852</v>
      </c>
    </row>
    <row r="3640" spans="1:4" ht="30">
      <c r="A3640" s="5" t="str">
        <f>HYPERLINK("https://www.oit.va.gov/Services/TRM/ToolPage.aspx?tid=7131^","SureTrend")</f>
        <v>SureTrend</v>
      </c>
      <c r="B3640" s="4" t="s">
        <v>4874</v>
      </c>
      <c r="C3640" s="8" t="s">
        <v>5</v>
      </c>
      <c r="D3640" s="11" t="s">
        <v>4875</v>
      </c>
    </row>
    <row r="3641" spans="1:4" ht="30">
      <c r="A3641" s="5" t="str">
        <f>HYPERLINK("https://www.oit.va.gov/Services/TRM/ToolPage.aspx?tid=14510^","Acuo Vendor Neutral Archive (VNA)")</f>
        <v>Acuo Vendor Neutral Archive (VNA)</v>
      </c>
      <c r="B3641" s="4" t="s">
        <v>1279</v>
      </c>
      <c r="C3641" s="8" t="s">
        <v>5</v>
      </c>
      <c r="D3641" s="11" t="s">
        <v>1280</v>
      </c>
    </row>
    <row r="3642" spans="1:4" ht="30">
      <c r="A3642" s="5" t="str">
        <f>HYPERLINK("https://www.oit.va.gov/Services/TRM/ToolPage.aspx?tid=8152^","Picture Archiving and Communication System (PACS) Scan")</f>
        <v>Picture Archiving and Communication System (PACS) Scan</v>
      </c>
      <c r="B3642" s="4" t="s">
        <v>1279</v>
      </c>
      <c r="C3642" s="8" t="s">
        <v>5</v>
      </c>
      <c r="D3642" s="11" t="s">
        <v>1838</v>
      </c>
    </row>
    <row r="3643" spans="1:4" ht="30">
      <c r="A3643" s="5" t="str">
        <f>HYPERLINK("https://www.oit.va.gov/Services/TRM/ToolPage.aspx?tid=15465^","Picture Archiving And Communication System gear (PACSgear)")</f>
        <v>Picture Archiving And Communication System gear (PACSgear)</v>
      </c>
      <c r="B3643" s="4" t="s">
        <v>1279</v>
      </c>
      <c r="C3643" s="8" t="s">
        <v>5</v>
      </c>
      <c r="D3643" s="11" t="s">
        <v>1827</v>
      </c>
    </row>
    <row r="3644" spans="1:4" ht="30">
      <c r="A3644" s="5" t="str">
        <f>HYPERLINK("https://www.oit.va.gov/Services/TRM/ToolPage.aspx?tid=15422^","Hyland Pacsgear Gear View Quality Control (QC)")</f>
        <v>Hyland Pacsgear Gear View Quality Control (QC)</v>
      </c>
      <c r="B3644" s="4" t="s">
        <v>1279</v>
      </c>
      <c r="C3644" s="8" t="s">
        <v>5</v>
      </c>
      <c r="D3644" s="11" t="s">
        <v>4199</v>
      </c>
    </row>
    <row r="3645" spans="1:4" ht="30">
      <c r="A3645" s="5" t="str">
        <f>HYPERLINK("https://www.oit.va.gov/Services/TRM/ToolPage.aspx?tid=15442^","NilRead Viewer")</f>
        <v>NilRead Viewer</v>
      </c>
      <c r="B3645" s="4" t="s">
        <v>1279</v>
      </c>
      <c r="C3645" s="8" t="s">
        <v>5</v>
      </c>
      <c r="D3645" s="11" t="s">
        <v>4502</v>
      </c>
    </row>
    <row r="3646" spans="1:4" ht="30">
      <c r="A3646" s="5" t="str">
        <f>HYPERLINK("https://www.oit.va.gov/Services/TRM/ToolPage.aspx?tid=15223^","Picture Archiving and Communication System Gear (PACSgear) Media Writer")</f>
        <v>Picture Archiving and Communication System Gear (PACSgear) Media Writer</v>
      </c>
      <c r="B3646" s="4" t="s">
        <v>1279</v>
      </c>
      <c r="C3646" s="8" t="s">
        <v>5</v>
      </c>
      <c r="D3646" s="11" t="s">
        <v>318</v>
      </c>
    </row>
    <row r="3647" spans="1:4" ht="30">
      <c r="A3647" s="5" t="str">
        <f>HYPERLINK("https://www.oit.va.gov/Services/TRM/ToolPage.aspx?tid=7508^","OnBase")</f>
        <v>OnBase</v>
      </c>
      <c r="B3647" s="4" t="s">
        <v>6957</v>
      </c>
      <c r="C3647" s="8" t="s">
        <v>5</v>
      </c>
      <c r="D3647" s="11" t="s">
        <v>6143</v>
      </c>
    </row>
    <row r="3648" spans="1:4" ht="30">
      <c r="A3648" s="5" t="str">
        <f>HYPERLINK("https://www.oit.va.gov/Services/TRM/ToolPage.aspx?tid=14707^","HyperSnap")</f>
        <v>HyperSnap</v>
      </c>
      <c r="B3648" s="4" t="s">
        <v>4237</v>
      </c>
      <c r="C3648" s="8" t="s">
        <v>5</v>
      </c>
      <c r="D3648" s="11" t="s">
        <v>43</v>
      </c>
    </row>
    <row r="3649" spans="1:4" ht="30">
      <c r="A3649" s="5" t="str">
        <f>HYPERLINK("https://www.oit.va.gov/Services/TRM/ToolPage.aspx?tid=15395^","Hyperledger Aries")</f>
        <v>Hyperledger Aries</v>
      </c>
      <c r="B3649" s="4" t="s">
        <v>6698</v>
      </c>
      <c r="C3649" s="8" t="s">
        <v>5</v>
      </c>
      <c r="D3649" s="11" t="s">
        <v>2160</v>
      </c>
    </row>
    <row r="3650" spans="1:4" ht="30">
      <c r="A3650" s="5" t="str">
        <f>HYPERLINK("https://www.oit.va.gov/Services/TRM/ToolPage.aspx?tid=14753^","HyperScience")</f>
        <v>HyperScience</v>
      </c>
      <c r="B3650" s="4" t="s">
        <v>2655</v>
      </c>
      <c r="C3650" s="8" t="s">
        <v>5</v>
      </c>
      <c r="D3650" s="11" t="s">
        <v>1101</v>
      </c>
    </row>
    <row r="3651" spans="1:4" ht="30">
      <c r="A3651" s="5" t="str">
        <f>HYPERLINK("https://www.oit.va.gov/Services/TRM/ToolPage.aspx?tid=16164^","EZLogic OS")</f>
        <v>EZLogic OS</v>
      </c>
      <c r="B3651" s="4" t="s">
        <v>2582</v>
      </c>
      <c r="C3651" s="8" t="s">
        <v>5</v>
      </c>
      <c r="D3651" s="11" t="s">
        <v>2583</v>
      </c>
    </row>
    <row r="3652" spans="1:4" ht="30">
      <c r="A3652" s="5" t="str">
        <f>HYPERLINK("https://www.oit.va.gov/Services/TRM/ToolPage.aspx?tid=5707^","Readiris")</f>
        <v>Readiris</v>
      </c>
      <c r="B3652" s="4" t="s">
        <v>2176</v>
      </c>
      <c r="C3652" s="8" t="s">
        <v>5</v>
      </c>
      <c r="D3652" s="11" t="s">
        <v>2177</v>
      </c>
    </row>
    <row r="3653" spans="1:4" ht="30">
      <c r="A3653" s="5" t="str">
        <f>HYPERLINK("https://www.oit.va.gov/Services/TRM/ToolPage.aspx?tid=10061^","Non-Sucking Service Manager (NSSM)")</f>
        <v>Non-Sucking Service Manager (NSSM)</v>
      </c>
      <c r="B3653" s="4" t="s">
        <v>6949</v>
      </c>
      <c r="C3653" s="8" t="s">
        <v>5</v>
      </c>
      <c r="D3653" s="11" t="s">
        <v>2531</v>
      </c>
    </row>
    <row r="3654" spans="1:4" ht="30">
      <c r="A3654" s="5" t="str">
        <f>HYPERLINK("https://www.oit.va.gov/Services/TRM/ToolPage.aspx?tid=10550^","myQA")</f>
        <v>myQA</v>
      </c>
      <c r="B3654" s="4" t="s">
        <v>2790</v>
      </c>
      <c r="C3654" s="8" t="s">
        <v>5</v>
      </c>
      <c r="D3654" s="11" t="s">
        <v>1060</v>
      </c>
    </row>
    <row r="3655" spans="1:4" ht="30">
      <c r="A3655" s="5" t="str">
        <f>HYPERLINK("https://www.oit.va.gov/Services/TRM/ToolPage.aspx?tid=13990^","OmniPro-Accept")</f>
        <v>OmniPro-Accept</v>
      </c>
      <c r="B3655" s="4" t="s">
        <v>2790</v>
      </c>
      <c r="C3655" s="8" t="s">
        <v>5</v>
      </c>
      <c r="D3655" s="11" t="s">
        <v>8361</v>
      </c>
    </row>
    <row r="3656" spans="1:4" ht="30">
      <c r="A3656" s="5" t="str">
        <f>HYPERLINK("https://www.oit.va.gov/Services/TRM/ToolPage.aspx?tid=16772^","International Business Machines (IBM) Netezza Performance Server")</f>
        <v>International Business Machines (IBM) Netezza Performance Server</v>
      </c>
      <c r="B3656" s="4" t="s">
        <v>132</v>
      </c>
      <c r="C3656" s="8" t="s">
        <v>5</v>
      </c>
      <c r="D3656" s="11" t="s">
        <v>133</v>
      </c>
    </row>
    <row r="3657" spans="1:4" ht="30">
      <c r="A3657" s="5" t="str">
        <f>HYPERLINK("https://www.oit.va.gov/Services/TRM/ToolPage.aspx?tid=16558^","IBM Data Virtualization Manager")</f>
        <v>IBM Data Virtualization Manager</v>
      </c>
      <c r="B3657" s="4" t="s">
        <v>132</v>
      </c>
      <c r="C3657" s="8" t="s">
        <v>5</v>
      </c>
      <c r="D3657" s="11" t="s">
        <v>706</v>
      </c>
    </row>
    <row r="3658" spans="1:4" ht="30">
      <c r="A3658" s="5" t="str">
        <f>HYPERLINK("https://www.oit.va.gov/Services/TRM/ToolPage.aspx?tid=10381^","Informix Client Software Development Kit (SDK)")</f>
        <v>Informix Client Software Development Kit (SDK)</v>
      </c>
      <c r="B3658" s="4" t="s">
        <v>132</v>
      </c>
      <c r="C3658" s="8" t="s">
        <v>5</v>
      </c>
      <c r="D3658" s="11" t="s">
        <v>1233</v>
      </c>
    </row>
    <row r="3659" spans="1:4" ht="30">
      <c r="A3659" s="5" t="str">
        <f>HYPERLINK("https://www.oit.va.gov/Services/TRM/ToolPage.aspx?tid=16276^","International Business Machines (IBM) TRIRIGA")</f>
        <v>International Business Machines (IBM) TRIRIGA</v>
      </c>
      <c r="B3659" s="4" t="s">
        <v>132</v>
      </c>
      <c r="C3659" s="8" t="s">
        <v>5</v>
      </c>
      <c r="D3659" s="11" t="s">
        <v>1655</v>
      </c>
    </row>
    <row r="3660" spans="1:4" ht="30">
      <c r="A3660" s="5" t="str">
        <f>HYPERLINK("https://www.oit.va.gov/Services/TRM/ToolPage.aspx?tid=7132^","Turbonomic")</f>
        <v>Turbonomic</v>
      </c>
      <c r="B3660" s="4" t="s">
        <v>132</v>
      </c>
      <c r="C3660" s="8" t="s">
        <v>5</v>
      </c>
      <c r="D3660" s="11" t="s">
        <v>2010</v>
      </c>
    </row>
    <row r="3661" spans="1:4" ht="30">
      <c r="A3661" s="5" t="str">
        <f>HYPERLINK("https://www.oit.va.gov/Services/TRM/ToolPage.aspx?tid=16020^","IBM zMulti-Factor Authentication (zMFA)")</f>
        <v>IBM zMulti-Factor Authentication (zMFA)</v>
      </c>
      <c r="B3661" s="4" t="s">
        <v>132</v>
      </c>
      <c r="C3661" s="8" t="s">
        <v>5</v>
      </c>
      <c r="D3661" s="11" t="s">
        <v>3956</v>
      </c>
    </row>
    <row r="3662" spans="1:4" ht="30">
      <c r="A3662" s="5" t="str">
        <f>HYPERLINK("https://www.oit.va.gov/Services/TRM/ToolPage.aspx?tid=6203^","IBM WebSphere DataPower Integration Appliance")</f>
        <v>IBM WebSphere DataPower Integration Appliance</v>
      </c>
      <c r="B3662" s="4" t="s">
        <v>132</v>
      </c>
      <c r="C3662" s="8" t="s">
        <v>5</v>
      </c>
      <c r="D3662" s="11" t="s">
        <v>5864</v>
      </c>
    </row>
    <row r="3663" spans="1:4" ht="30">
      <c r="A3663" s="5" t="str">
        <f>HYPERLINK("https://www.oit.va.gov/Services/TRM/ToolPage.aspx?tid=13011^","Informix Embedded Structured Query Language (ESQL) for C")</f>
        <v>Informix Embedded Structured Query Language (ESQL) for C</v>
      </c>
      <c r="B3663" s="4" t="s">
        <v>132</v>
      </c>
      <c r="C3663" s="8" t="s">
        <v>5</v>
      </c>
      <c r="D3663" s="11" t="s">
        <v>5276</v>
      </c>
    </row>
    <row r="3664" spans="1:4" ht="30">
      <c r="A3664" s="5" t="str">
        <f>HYPERLINK("https://www.oit.va.gov/Services/TRM/ToolPage.aspx?tid=6297^","Tivoli Security Policy Manager")</f>
        <v>Tivoli Security Policy Manager</v>
      </c>
      <c r="B3664" s="4" t="s">
        <v>132</v>
      </c>
      <c r="C3664" s="8" t="s">
        <v>5</v>
      </c>
      <c r="D3664" s="11" t="s">
        <v>7235</v>
      </c>
    </row>
    <row r="3665" spans="1:4" ht="30">
      <c r="A3665" s="5" t="str">
        <f>HYPERLINK("https://www.oit.va.gov/Services/TRM/ToolPage.aspx?tid=10859^","Fiber Array Storage Technology Management Suite Java (FAStT MSJ)")</f>
        <v>Fiber Array Storage Technology Management Suite Java (FAStT MSJ)</v>
      </c>
      <c r="B3665" s="4" t="s">
        <v>132</v>
      </c>
      <c r="C3665" s="8" t="s">
        <v>5</v>
      </c>
      <c r="D3665" s="11" t="s">
        <v>7917</v>
      </c>
    </row>
    <row r="3666" spans="1:4" ht="30">
      <c r="A3666" s="5" t="str">
        <f>HYPERLINK("https://www.oit.va.gov/Services/TRM/ToolPage.aspx?tid=6516^","IBM Business Monitor")</f>
        <v>IBM Business Monitor</v>
      </c>
      <c r="B3666" s="4" t="s">
        <v>132</v>
      </c>
      <c r="C3666" s="8" t="s">
        <v>5</v>
      </c>
      <c r="D3666" s="11" t="s">
        <v>8047</v>
      </c>
    </row>
    <row r="3667" spans="1:4" ht="30">
      <c r="A3667" s="5" t="str">
        <f>HYPERLINK("https://www.oit.va.gov/Services/TRM/ToolPage.aspx?tid=10318^","IBM FileNet Integrated Document Manager (IDM) Viewer")</f>
        <v>IBM FileNet Integrated Document Manager (IDM) Viewer</v>
      </c>
      <c r="B3667" s="4" t="s">
        <v>132</v>
      </c>
      <c r="C3667" s="8" t="s">
        <v>5</v>
      </c>
      <c r="D3667" s="11" t="s">
        <v>8048</v>
      </c>
    </row>
    <row r="3668" spans="1:4" ht="30">
      <c r="A3668" s="5" t="str">
        <f>HYPERLINK("https://www.oit.va.gov/Services/TRM/ToolPage.aspx?tid=5706^","Rational TeamTest")</f>
        <v>Rational TeamTest</v>
      </c>
      <c r="B3668" s="4" t="s">
        <v>132</v>
      </c>
      <c r="C3668" s="8" t="s">
        <v>5</v>
      </c>
      <c r="D3668" s="11" t="s">
        <v>8532</v>
      </c>
    </row>
    <row r="3669" spans="1:4" ht="30">
      <c r="A3669" s="5" t="str">
        <f>HYPERLINK("https://www.oit.va.gov/Services/TRM/ToolPage.aspx?tid=5781^","Merge Eye Station")</f>
        <v>Merge Eye Station</v>
      </c>
      <c r="B3669" s="4" t="s">
        <v>8250</v>
      </c>
      <c r="C3669" s="8" t="s">
        <v>5</v>
      </c>
      <c r="D3669" s="11" t="s">
        <v>8251</v>
      </c>
    </row>
    <row r="3670" spans="1:4" ht="30">
      <c r="A3670" s="5" t="str">
        <f>HYPERLINK("https://www.oit.va.gov/Services/TRM/ToolPage.aspx?tid=14981^","Merge Hemo Client")</f>
        <v>Merge Hemo Client</v>
      </c>
      <c r="B3670" s="4" t="s">
        <v>8250</v>
      </c>
      <c r="C3670" s="8" t="s">
        <v>5</v>
      </c>
      <c r="D3670" s="11" t="s">
        <v>8252</v>
      </c>
    </row>
    <row r="3671" spans="1:4" ht="30">
      <c r="A3671" s="5" t="str">
        <f>HYPERLINK("https://www.oit.va.gov/Services/TRM/ToolPage.aspx?tid=11789^","Smart IC Realtime Surveillance System (ICRSS) Remote Client")</f>
        <v>Smart IC Realtime Surveillance System (ICRSS) Remote Client</v>
      </c>
      <c r="B3671" s="4" t="s">
        <v>1928</v>
      </c>
      <c r="C3671" s="8" t="s">
        <v>5</v>
      </c>
      <c r="D3671" s="11" t="s">
        <v>1803</v>
      </c>
    </row>
    <row r="3672" spans="1:4" ht="30">
      <c r="A3672" s="5" t="str">
        <f>HYPERLINK("https://www.oit.va.gov/Services/TRM/ToolPage.aspx?tid=6262^","iCal4j")</f>
        <v>iCal4j</v>
      </c>
      <c r="B3672" s="4" t="s">
        <v>2656</v>
      </c>
      <c r="C3672" s="8" t="s">
        <v>5</v>
      </c>
      <c r="D3672" s="11" t="s">
        <v>744</v>
      </c>
    </row>
    <row r="3673" spans="1:4" ht="30">
      <c r="A3673" s="5" t="str">
        <f>HYPERLINK("https://www.oit.va.gov/Services/TRM/ToolPage.aspx?tid=15763^","Encompass")</f>
        <v>Encompass</v>
      </c>
      <c r="B3673" s="4" t="s">
        <v>5787</v>
      </c>
      <c r="C3673" s="8" t="s">
        <v>5</v>
      </c>
      <c r="D3673" s="11" t="s">
        <v>1918</v>
      </c>
    </row>
    <row r="3674" spans="1:4" ht="30">
      <c r="A3674" s="5" t="str">
        <f>HYPERLINK("https://www.oit.va.gov/Services/TRM/ToolPage.aspx?tid=8150^","IceWarp Server")</f>
        <v>IceWarp Server</v>
      </c>
      <c r="B3674" s="4" t="s">
        <v>18</v>
      </c>
      <c r="C3674" s="8" t="s">
        <v>5</v>
      </c>
      <c r="D3674" s="11" t="s">
        <v>19</v>
      </c>
    </row>
    <row r="3675" spans="1:4" ht="30">
      <c r="A3675" s="5" t="str">
        <f>HYPERLINK("https://www.oit.va.gov/Services/TRM/ToolPage.aspx?tid=14673^","Text Engagement")</f>
        <v>Text Engagement</v>
      </c>
      <c r="B3675" s="4" t="s">
        <v>7226</v>
      </c>
      <c r="C3675" s="8" t="s">
        <v>5</v>
      </c>
      <c r="D3675" s="11" t="s">
        <v>5552</v>
      </c>
    </row>
    <row r="3676" spans="1:4" ht="30">
      <c r="A3676" s="5" t="str">
        <f>HYPERLINK("https://www.oit.va.gov/Services/TRM/ToolPage.aspx?tid=13853^","Icom CS-F7500 Programming Software")</f>
        <v>Icom CS-F7500 Programming Software</v>
      </c>
      <c r="B3676" s="4" t="s">
        <v>4242</v>
      </c>
      <c r="C3676" s="8" t="s">
        <v>5</v>
      </c>
      <c r="D3676" s="11" t="s">
        <v>4243</v>
      </c>
    </row>
    <row r="3677" spans="1:4" ht="30">
      <c r="A3677" s="5" t="str">
        <f>HYPERLINK("https://www.oit.va.gov/Services/TRM/ToolPage.aspx?tid=7592^","Icom CS-M802 Radio Programming Software")</f>
        <v>Icom CS-M802 Radio Programming Software</v>
      </c>
      <c r="B3677" s="4" t="s">
        <v>4242</v>
      </c>
      <c r="C3677" s="8" t="s">
        <v>5</v>
      </c>
      <c r="D3677" s="11" t="s">
        <v>8049</v>
      </c>
    </row>
    <row r="3678" spans="1:4" ht="30">
      <c r="A3678" s="5" t="str">
        <f>HYPERLINK("https://www.oit.va.gov/Services/TRM/ToolPage.aspx?tid=16557^","iCONECT")</f>
        <v>iCONECT</v>
      </c>
      <c r="B3678" s="4" t="s">
        <v>4244</v>
      </c>
      <c r="C3678" s="8" t="s">
        <v>5</v>
      </c>
      <c r="D3678" s="11" t="s">
        <v>706</v>
      </c>
    </row>
    <row r="3679" spans="1:4" ht="30">
      <c r="A3679" s="5" t="str">
        <f>HYPERLINK("https://www.oit.va.gov/Services/TRM/ToolPage.aspx?tid=8262^","Ionic")</f>
        <v>Ionic</v>
      </c>
      <c r="B3679" s="4" t="s">
        <v>5262</v>
      </c>
      <c r="C3679" s="8" t="s">
        <v>5</v>
      </c>
      <c r="D3679" s="11" t="s">
        <v>3534</v>
      </c>
    </row>
    <row r="3680" spans="1:4" ht="30">
      <c r="A3680" s="5" t="str">
        <f>HYPERLINK("https://www.oit.va.gov/Services/TRM/ToolPage.aspx?tid=14731^","ICONICS GENESIS32")</f>
        <v>ICONICS GENESIS32</v>
      </c>
      <c r="B3680" s="4" t="s">
        <v>6704</v>
      </c>
      <c r="C3680" s="8" t="s">
        <v>5</v>
      </c>
      <c r="D3680" s="11" t="s">
        <v>2243</v>
      </c>
    </row>
    <row r="3681" spans="1:4" ht="30">
      <c r="A3681" s="5" t="str">
        <f>HYPERLINK("https://www.oit.va.gov/Services/TRM/ToolPage.aspx?tid=15798^","AvalonEdit")</f>
        <v>AvalonEdit</v>
      </c>
      <c r="B3681" s="4" t="s">
        <v>3162</v>
      </c>
      <c r="C3681" s="8" t="s">
        <v>5</v>
      </c>
      <c r="D3681" s="11" t="s">
        <v>3163</v>
      </c>
    </row>
    <row r="3682" spans="1:4" ht="30">
      <c r="A3682" s="5" t="str">
        <f>HYPERLINK("https://www.oit.va.gov/Services/TRM/ToolPage.aspx?tid=13334^","Intensive Care Unit (ICU) Medical MedNet")</f>
        <v>Intensive Care Unit (ICU) Medical MedNet</v>
      </c>
      <c r="B3682" s="4" t="s">
        <v>426</v>
      </c>
      <c r="C3682" s="8" t="s">
        <v>5</v>
      </c>
      <c r="D3682" s="11" t="s">
        <v>427</v>
      </c>
    </row>
    <row r="3683" spans="1:4" ht="30">
      <c r="A3683" s="5" t="str">
        <f>HYPERLINK("https://www.oit.va.gov/Services/TRM/ToolPage.aspx?tid=10145^","Realtime Landscaping Architect")</f>
        <v>Realtime Landscaping Architect</v>
      </c>
      <c r="B3683" s="4" t="s">
        <v>1087</v>
      </c>
      <c r="C3683" s="8" t="s">
        <v>5</v>
      </c>
      <c r="D3683" s="11" t="s">
        <v>1088</v>
      </c>
    </row>
    <row r="3684" spans="1:4" ht="30">
      <c r="A3684" s="5" t="str">
        <f>HYPERLINK("https://www.oit.va.gov/Services/TRM/ToolPage.aspx?tid=14871^","Q-Pulse Quality Management Software (QMS)")</f>
        <v>Q-Pulse Quality Management Software (QMS)</v>
      </c>
      <c r="B3684" s="4" t="s">
        <v>4681</v>
      </c>
      <c r="C3684" s="8" t="s">
        <v>5</v>
      </c>
      <c r="D3684" s="11" t="s">
        <v>254</v>
      </c>
    </row>
    <row r="3685" spans="1:4" ht="30">
      <c r="A3685" s="5" t="str">
        <f>HYPERLINK("https://www.oit.va.gov/Services/TRM/ToolPage.aspx?tid=7416^","Automation Organizer")</f>
        <v>Automation Organizer</v>
      </c>
      <c r="B3685" s="4" t="s">
        <v>5066</v>
      </c>
      <c r="C3685" s="8" t="s">
        <v>5</v>
      </c>
      <c r="D3685" s="11" t="s">
        <v>3161</v>
      </c>
    </row>
    <row r="3686" spans="1:4" ht="30">
      <c r="A3686" s="5" t="str">
        <f>HYPERLINK("https://www.oit.va.gov/Services/TRM/ToolPage.aspx?tid=10932^","inVize Identification (ID)")</f>
        <v>inVize Identification (ID)</v>
      </c>
      <c r="B3686" s="4" t="s">
        <v>2264</v>
      </c>
      <c r="C3686" s="8" t="s">
        <v>5</v>
      </c>
      <c r="D3686" s="11" t="s">
        <v>2265</v>
      </c>
    </row>
    <row r="3687" spans="1:4" ht="30">
      <c r="A3687" s="5" t="str">
        <f>HYPERLINK("https://www.oit.va.gov/Services/TRM/ToolPage.aspx?tid=5993^","Velocity")</f>
        <v>Velocity</v>
      </c>
      <c r="B3687" s="4" t="s">
        <v>2023</v>
      </c>
      <c r="C3687" s="8" t="s">
        <v>5</v>
      </c>
      <c r="D3687" s="11" t="s">
        <v>2024</v>
      </c>
    </row>
    <row r="3688" spans="1:4" ht="30">
      <c r="A3688" s="5" t="str">
        <f>HYPERLINK("https://www.oit.va.gov/Services/TRM/ToolPage.aspx?tid=7047^","ER/Studio Data Architect")</f>
        <v>ER/Studio Data Architect</v>
      </c>
      <c r="B3688" s="4" t="s">
        <v>682</v>
      </c>
      <c r="C3688" s="8" t="s">
        <v>5</v>
      </c>
      <c r="D3688" s="11" t="s">
        <v>683</v>
      </c>
    </row>
    <row r="3689" spans="1:4" ht="30">
      <c r="A3689" s="5" t="str">
        <f>HYPERLINK("https://www.oit.va.gov/Services/TRM/ToolPage.aspx?tid=7992^","Idera Structured Query Language (SQL) Inventory Manager")</f>
        <v>Idera Structured Query Language (SQL) Inventory Manager</v>
      </c>
      <c r="B3689" s="4" t="s">
        <v>682</v>
      </c>
      <c r="C3689" s="8" t="s">
        <v>5</v>
      </c>
      <c r="D3689" s="11" t="s">
        <v>710</v>
      </c>
    </row>
    <row r="3690" spans="1:4" ht="30">
      <c r="A3690" s="5" t="str">
        <f>HYPERLINK("https://www.oit.va.gov/Services/TRM/ToolPage.aspx?tid=7740^","Structured Query Language (SQL) Diagnostic Manager")</f>
        <v>Structured Query Language (SQL) Diagnostic Manager</v>
      </c>
      <c r="B3690" s="4" t="s">
        <v>682</v>
      </c>
      <c r="C3690" s="8" t="s">
        <v>5</v>
      </c>
      <c r="D3690" s="11" t="s">
        <v>1963</v>
      </c>
    </row>
    <row r="3691" spans="1:4" ht="30">
      <c r="A3691" s="5" t="str">
        <f>HYPERLINK("https://www.oit.va.gov/Services/TRM/ToolPage.aspx?tid=8437^","Structured Query Language (SQL) Doctor")</f>
        <v>Structured Query Language (SQL) Doctor</v>
      </c>
      <c r="B3691" s="4" t="s">
        <v>682</v>
      </c>
      <c r="C3691" s="8" t="s">
        <v>5</v>
      </c>
      <c r="D3691" s="11" t="s">
        <v>2998</v>
      </c>
    </row>
    <row r="3692" spans="1:4" ht="30">
      <c r="A3692" s="5" t="str">
        <f>HYPERLINK("https://www.oit.va.gov/Services/TRM/ToolPage.aspx?tid=6637^","Idera Structured Query Language (SQL) Admin Toolset")</f>
        <v>Idera Structured Query Language (SQL) Admin Toolset</v>
      </c>
      <c r="B3692" s="4" t="s">
        <v>682</v>
      </c>
      <c r="C3692" s="8" t="s">
        <v>5</v>
      </c>
      <c r="D3692" s="11" t="s">
        <v>513</v>
      </c>
    </row>
    <row r="3693" spans="1:4" ht="30">
      <c r="A3693" s="5" t="str">
        <f>HYPERLINK("https://www.oit.va.gov/Services/TRM/ToolPage.aspx?tid=8436^","SQL Comparison Toolset")</f>
        <v>SQL Comparison Toolset</v>
      </c>
      <c r="B3693" s="4" t="s">
        <v>682</v>
      </c>
      <c r="C3693" s="8" t="s">
        <v>5</v>
      </c>
      <c r="D3693" s="11" t="s">
        <v>2033</v>
      </c>
    </row>
    <row r="3694" spans="1:4" ht="30">
      <c r="A3694" s="5" t="str">
        <f>HYPERLINK("https://www.oit.va.gov/Services/TRM/ToolPage.aspx?tid=6470^","SQL Compliance Manager")</f>
        <v>SQL Compliance Manager</v>
      </c>
      <c r="B3694" s="4" t="s">
        <v>682</v>
      </c>
      <c r="C3694" s="8" t="s">
        <v>5</v>
      </c>
      <c r="D3694" s="11" t="s">
        <v>5429</v>
      </c>
    </row>
    <row r="3695" spans="1:4" ht="30">
      <c r="A3695" s="5" t="str">
        <f>HYPERLINK("https://www.oit.va.gov/Services/TRM/ToolPage.aspx?tid=7052^","Idera Structured Query Language (SQL) Secure")</f>
        <v>Idera Structured Query Language (SQL) Secure</v>
      </c>
      <c r="B3695" s="4" t="s">
        <v>682</v>
      </c>
      <c r="C3695" s="8" t="s">
        <v>5</v>
      </c>
      <c r="D3695" s="11" t="s">
        <v>6705</v>
      </c>
    </row>
    <row r="3696" spans="1:4" ht="30">
      <c r="A3696" s="5" t="str">
        <f>HYPERLINK("https://www.oit.va.gov/Services/TRM/ToolPage.aspx?tid=16488^","PowerShell Plus")</f>
        <v>PowerShell Plus</v>
      </c>
      <c r="B3696" s="4" t="s">
        <v>682</v>
      </c>
      <c r="C3696" s="8" t="s">
        <v>5</v>
      </c>
      <c r="D3696" s="11" t="s">
        <v>7022</v>
      </c>
    </row>
    <row r="3697" spans="1:4" ht="30">
      <c r="A3697" s="5" t="str">
        <f>HYPERLINK("https://www.oit.va.gov/Services/TRM/ToolPage.aspx?tid=8433^","Standardized Query Language (SQL) Virtual Database")</f>
        <v>Standardized Query Language (SQL) Virtual Database</v>
      </c>
      <c r="B3697" s="4" t="s">
        <v>682</v>
      </c>
      <c r="C3697" s="8" t="s">
        <v>5</v>
      </c>
      <c r="D3697" s="11" t="s">
        <v>7181</v>
      </c>
    </row>
    <row r="3698" spans="1:4" ht="30">
      <c r="A3698" s="5" t="str">
        <f>HYPERLINK("https://www.oit.va.gov/Services/TRM/ToolPage.aspx?tid=6638^","Structured Query Language (SQL) Defrag Manager")</f>
        <v>Structured Query Language (SQL) Defrag Manager</v>
      </c>
      <c r="B3698" s="4" t="s">
        <v>682</v>
      </c>
      <c r="C3698" s="8" t="s">
        <v>5</v>
      </c>
      <c r="D3698" s="11" t="s">
        <v>8743</v>
      </c>
    </row>
    <row r="3699" spans="1:4" ht="30">
      <c r="A3699" s="5" t="str">
        <f>HYPERLINK("https://www.oit.va.gov/Services/TRM/ToolPage.aspx?tid=6164^","UltraCompare")</f>
        <v>UltraCompare</v>
      </c>
      <c r="B3699" s="4" t="s">
        <v>476</v>
      </c>
      <c r="C3699" s="8" t="s">
        <v>5</v>
      </c>
      <c r="D3699" s="11" t="s">
        <v>477</v>
      </c>
    </row>
    <row r="3700" spans="1:4" ht="30">
      <c r="A3700" s="5" t="str">
        <f>HYPERLINK("https://www.oit.va.gov/Services/TRM/ToolPage.aspx?tid=6299^","UltraEdit")</f>
        <v>UltraEdit</v>
      </c>
      <c r="B3700" s="4" t="s">
        <v>476</v>
      </c>
      <c r="C3700" s="8" t="s">
        <v>5</v>
      </c>
      <c r="D3700" s="11" t="s">
        <v>1118</v>
      </c>
    </row>
    <row r="3701" spans="1:4" ht="30">
      <c r="A3701" s="5" t="str">
        <f>HYPERLINK("https://www.oit.va.gov/Services/TRM/ToolPage.aspx?tid=15835^","AcuFill Software Development Kit (SDK)")</f>
        <v>AcuFill Software Development Kit (SDK)</v>
      </c>
      <c r="B3701" s="4" t="s">
        <v>350</v>
      </c>
      <c r="C3701" s="8" t="s">
        <v>5</v>
      </c>
      <c r="D3701" s="11" t="s">
        <v>351</v>
      </c>
    </row>
    <row r="3702" spans="1:4" ht="30">
      <c r="A3702" s="5" t="str">
        <f>HYPERLINK("https://www.oit.va.gov/Services/TRM/ToolPage.aspx?tid=13234^","Smart IDesigner")</f>
        <v>Smart IDesigner</v>
      </c>
      <c r="B3702" s="4" t="s">
        <v>7149</v>
      </c>
      <c r="C3702" s="8" t="s">
        <v>5</v>
      </c>
      <c r="D3702" s="11" t="s">
        <v>7150</v>
      </c>
    </row>
    <row r="3703" spans="1:4" ht="30">
      <c r="A3703" s="5" t="str">
        <f>HYPERLINK("https://www.oit.va.gov/Services/TRM/ToolPage.aspx?tid=13852^","inPhoto ID PS")</f>
        <v>inPhoto ID PS</v>
      </c>
      <c r="B3703" s="4" t="s">
        <v>6716</v>
      </c>
      <c r="C3703" s="8" t="s">
        <v>5</v>
      </c>
      <c r="D3703" s="11" t="s">
        <v>5294</v>
      </c>
    </row>
    <row r="3704" spans="1:4" ht="30">
      <c r="A3704" s="5" t="str">
        <f>HYPERLINK("https://www.oit.va.gov/Services/TRM/ToolPage.aspx?tid=14166^","RemotePC")</f>
        <v>RemotePC</v>
      </c>
      <c r="B3704" s="4" t="s">
        <v>7076</v>
      </c>
      <c r="C3704" s="8" t="s">
        <v>5</v>
      </c>
      <c r="D3704" s="11" t="s">
        <v>7077</v>
      </c>
    </row>
    <row r="3705" spans="1:4" ht="30">
      <c r="A3705" s="5" t="str">
        <f>HYPERLINK("https://www.oit.va.gov/Services/TRM/ToolPage.aspx?tid=10054^","iDrive")</f>
        <v>iDrive</v>
      </c>
      <c r="B3705" s="4" t="s">
        <v>7076</v>
      </c>
      <c r="C3705" s="8" t="s">
        <v>5</v>
      </c>
      <c r="D3705" s="11" t="s">
        <v>3316</v>
      </c>
    </row>
    <row r="3706" spans="1:4" ht="30">
      <c r="A3706" s="5" t="str">
        <f>HYPERLINK("https://www.oit.va.gov/Services/TRM/ToolPage.aspx?tid=11165^","Imaging Development Systems (IDS) Software Suite")</f>
        <v>Imaging Development Systems (IDS) Software Suite</v>
      </c>
      <c r="B3706" s="4" t="s">
        <v>1619</v>
      </c>
      <c r="C3706" s="8" t="s">
        <v>5</v>
      </c>
      <c r="D3706" s="11" t="s">
        <v>1620</v>
      </c>
    </row>
    <row r="3707" spans="1:4" ht="30">
      <c r="A3707" s="5" t="str">
        <f>HYPERLINK("https://www.oit.va.gov/Services/TRM/ToolPage.aspx?tid=16858^","ID Maker")</f>
        <v>ID Maker</v>
      </c>
      <c r="B3707" s="4" t="s">
        <v>708</v>
      </c>
      <c r="C3707" s="8" t="s">
        <v>5</v>
      </c>
      <c r="D3707" s="11" t="s">
        <v>709</v>
      </c>
    </row>
    <row r="3708" spans="1:4" ht="30">
      <c r="A3708" s="5" t="str">
        <f>HYPERLINK("https://www.oit.va.gov/Services/TRM/ToolPage.aspx?tid=16648^","IEability Microsoft Edge Add-on")</f>
        <v>IEability Microsoft Edge Add-on</v>
      </c>
      <c r="B3708" s="4" t="s">
        <v>8052</v>
      </c>
      <c r="C3708" s="8" t="s">
        <v>5</v>
      </c>
      <c r="D3708" s="11" t="s">
        <v>2263</v>
      </c>
    </row>
    <row r="3709" spans="1:4" ht="30">
      <c r="A3709" s="5" t="str">
        <f>HYPERLINK("https://www.oit.va.gov/Services/TRM/StandardPage.aspx?tid=5440^","Carrier Sense Multiple Access with Collision Detection (CSMA/CD)")</f>
        <v>Carrier Sense Multiple Access with Collision Detection (CSMA/CD)</v>
      </c>
      <c r="B3709" s="4" t="s">
        <v>7618</v>
      </c>
      <c r="C3709" s="8" t="s">
        <v>5</v>
      </c>
      <c r="D3709" s="11" t="s">
        <v>3965</v>
      </c>
    </row>
    <row r="3710" spans="1:4" ht="60">
      <c r="A3710" s="5" t="str">
        <f>HYPERLINK("https://www.oit.va.gov/Services/TRM/StandardPage.aspx?tid=6324^","International Organization for Standardization (ISO) / Institute of Electrical and Electronics Engineers (IEEE) 11073 Health informatics Point-of-care (POC) Medical Device Communication - Part 10101: Nomenclature")</f>
        <v>International Organization for Standardization (ISO) / Institute of Electrical and Electronics Engineers (IEEE) 11073 Health informatics Point-of-care (POC) Medical Device Communication - Part 10101: Nomenclature</v>
      </c>
      <c r="B3710" s="4" t="s">
        <v>7618</v>
      </c>
      <c r="C3710" s="8" t="s">
        <v>5</v>
      </c>
      <c r="D3710" s="11" t="s">
        <v>5371</v>
      </c>
    </row>
    <row r="3711" spans="1:4" ht="30">
      <c r="A3711" s="5" t="str">
        <f>HYPERLINK("https://www.oit.va.gov/Services/TRM/StandardPage.aspx?tid=5396^","Medical Device Communications")</f>
        <v>Medical Device Communications</v>
      </c>
      <c r="B3711" s="4" t="s">
        <v>7618</v>
      </c>
      <c r="C3711" s="8" t="s">
        <v>5</v>
      </c>
      <c r="D3711" s="11" t="s">
        <v>5145</v>
      </c>
    </row>
    <row r="3712" spans="1:4" ht="30">
      <c r="A3712" s="5" t="str">
        <f>HYPERLINK("https://www.oit.va.gov/Services/TRM/StandardPage.aspx?tid=5439^","Virtual Bridged Local Area Networks (VLAN)")</f>
        <v>Virtual Bridged Local Area Networks (VLAN)</v>
      </c>
      <c r="B3712" s="4" t="s">
        <v>7618</v>
      </c>
      <c r="C3712" s="8" t="s">
        <v>5</v>
      </c>
      <c r="D3712" s="11" t="s">
        <v>8878</v>
      </c>
    </row>
    <row r="3713" spans="1:4" ht="30">
      <c r="A3713" s="5" t="str">
        <f>HYPERLINK("https://www.oit.va.gov/Services/TRM/StandardPage.aspx?tid=5444^","Wireless Local Area Network (WLAN) Medium Access Control (MAC) and Physical Layer (PHY)")</f>
        <v>Wireless Local Area Network (WLAN) Medium Access Control (MAC) and Physical Layer (PHY)</v>
      </c>
      <c r="B3713" s="4" t="s">
        <v>7618</v>
      </c>
      <c r="C3713" s="8" t="s">
        <v>5</v>
      </c>
      <c r="D3713" s="11" t="s">
        <v>4304</v>
      </c>
    </row>
    <row r="3714" spans="1:4" ht="30">
      <c r="A3714" s="5" t="str">
        <f>HYPERLINK("https://www.oit.va.gov/Services/TRM/StandardPage.aspx?tid=8503^","The Group Domain of Interpretation")</f>
        <v>The Group Domain of Interpretation</v>
      </c>
      <c r="B3714" s="4" t="s">
        <v>8801</v>
      </c>
      <c r="C3714" s="8" t="s">
        <v>5</v>
      </c>
      <c r="D3714" s="11" t="s">
        <v>4381</v>
      </c>
    </row>
    <row r="3715" spans="1:4" ht="30">
      <c r="A3715" s="5" t="str">
        <f>HYPERLINK("https://www.oit.va.gov/Services/TRM/ToolPage.aspx?tid=13101^","IGEL Universal Management Suite (UMS)")</f>
        <v>IGEL Universal Management Suite (UMS)</v>
      </c>
      <c r="B3715" s="4" t="s">
        <v>5865</v>
      </c>
      <c r="C3715" s="8" t="s">
        <v>5</v>
      </c>
      <c r="D3715" s="11" t="s">
        <v>5866</v>
      </c>
    </row>
    <row r="3716" spans="1:4" ht="30">
      <c r="A3716" s="5" t="str">
        <f>HYPERLINK("https://www.oit.va.gov/Services/TRM/ToolPage.aspx?tid=11774^","Closed Extensible Markup Language (XML).Extensions. Model View Controller (MVC) Nuget Package")</f>
        <v>Closed Extensible Markup Language (XML).Extensions. Model View Controller (MVC) Nuget Package</v>
      </c>
      <c r="B3716" s="4" t="s">
        <v>2467</v>
      </c>
      <c r="C3716" s="8" t="s">
        <v>5</v>
      </c>
      <c r="D3716" s="11" t="s">
        <v>2468</v>
      </c>
    </row>
    <row r="3717" spans="1:4" ht="30">
      <c r="A3717" s="5" t="str">
        <f>HYPERLINK("https://www.oit.va.gov/Services/TRM/ToolPage.aspx?tid=11758^","ClosedXML.Extensions.AspNet Nuget Package")</f>
        <v>ClosedXML.Extensions.AspNet Nuget Package</v>
      </c>
      <c r="B3717" s="4" t="s">
        <v>2467</v>
      </c>
      <c r="C3717" s="8" t="s">
        <v>5</v>
      </c>
      <c r="D3717" s="11" t="s">
        <v>2469</v>
      </c>
    </row>
    <row r="3718" spans="1:4" ht="30">
      <c r="A3718" s="5" t="str">
        <f>HYPERLINK("https://www.oit.va.gov/Services/TRM/ToolPage.aspx?tid=11773^","Closed Extensible Markup Language (ClosedXML) Nuget Package")</f>
        <v>Closed Extensible Markup Language (ClosedXML) Nuget Package</v>
      </c>
      <c r="B3718" s="4" t="s">
        <v>2467</v>
      </c>
      <c r="C3718" s="8" t="s">
        <v>5</v>
      </c>
      <c r="D3718" s="11" t="s">
        <v>1095</v>
      </c>
    </row>
    <row r="3719" spans="1:4" ht="30">
      <c r="A3719" s="5" t="str">
        <f>HYPERLINK("https://www.oit.va.gov/Services/TRM/ToolPage.aspx?tid=9981^","Flow Test Setup")</f>
        <v>Flow Test Setup</v>
      </c>
      <c r="B3719" s="4" t="s">
        <v>7935</v>
      </c>
      <c r="C3719" s="8" t="s">
        <v>5</v>
      </c>
      <c r="D3719" s="11" t="s">
        <v>7936</v>
      </c>
    </row>
    <row r="3720" spans="1:4" ht="30">
      <c r="A3720" s="5" t="str">
        <f>HYPERLINK("https://www.oit.va.gov/Services/TRM/ToolPage.aspx?tid=5527^","7-Zip")</f>
        <v>7-Zip</v>
      </c>
      <c r="B3720" s="4" t="s">
        <v>2342</v>
      </c>
      <c r="C3720" s="8" t="s">
        <v>5</v>
      </c>
      <c r="D3720" s="11" t="s">
        <v>343</v>
      </c>
    </row>
    <row r="3721" spans="1:4" ht="30">
      <c r="A3721" s="5" t="str">
        <f>HYPERLINK("https://www.oit.va.gov/Services/TRM/ToolPage.aspx?tid=7623^","iGrafx Process for Six Sigma")</f>
        <v>iGrafx Process for Six Sigma</v>
      </c>
      <c r="B3721" s="4" t="s">
        <v>5867</v>
      </c>
      <c r="C3721" s="8" t="s">
        <v>5</v>
      </c>
      <c r="D3721" s="11" t="s">
        <v>5868</v>
      </c>
    </row>
    <row r="3722" spans="1:4" ht="30">
      <c r="A3722" s="5" t="str">
        <f>HYPERLINK("https://www.oit.va.gov/Services/TRM/StandardPage.aspx?tid=6318^","IHE Patient Care Device Technical Framework Volume 3 (PCD TF-3) Semantic Content")</f>
        <v>IHE Patient Care Device Technical Framework Volume 3 (PCD TF-3) Semantic Content</v>
      </c>
      <c r="B3722" s="4" t="s">
        <v>6707</v>
      </c>
      <c r="C3722" s="8" t="s">
        <v>5</v>
      </c>
      <c r="D3722" s="11" t="s">
        <v>6708</v>
      </c>
    </row>
    <row r="3723" spans="1:4" ht="45">
      <c r="A3723" s="5" t="str">
        <f>HYPERLINK("https://www.oit.va.gov/Services/TRM/StandardPage.aspx?tid=6323^","Integrating the Health Enterprise (IHE) Patient Care Device (PCD) Technical Framework Supplement Subscribe to Patient Data (SPD)")</f>
        <v>Integrating the Health Enterprise (IHE) Patient Care Device (PCD) Technical Framework Supplement Subscribe to Patient Data (SPD)</v>
      </c>
      <c r="B3723" s="4" t="s">
        <v>6707</v>
      </c>
      <c r="C3723" s="8" t="s">
        <v>5</v>
      </c>
      <c r="D3723" s="11" t="s">
        <v>3596</v>
      </c>
    </row>
    <row r="3724" spans="1:4" ht="30">
      <c r="A3724" s="5" t="str">
        <f>HYPERLINK("https://www.oit.va.gov/Services/TRM/StandardPage.aspx?tid=6319^","Integrating the Healthcare Enterprise (IHE) Patient Care Devices Technical Framework Volume 1 (PCD TF-1) Integration Profiles")</f>
        <v>Integrating the Healthcare Enterprise (IHE) Patient Care Devices Technical Framework Volume 1 (PCD TF-1) Integration Profiles</v>
      </c>
      <c r="B3724" s="4" t="s">
        <v>6707</v>
      </c>
      <c r="C3724" s="8" t="s">
        <v>5</v>
      </c>
      <c r="D3724" s="11" t="s">
        <v>4236</v>
      </c>
    </row>
    <row r="3725" spans="1:4" ht="30">
      <c r="A3725" s="5" t="str">
        <f>HYPERLINK("https://www.oit.va.gov/Services/TRM/StandardPage.aspx?tid=6320^","Integrating the Healthcare Enterprise (IHE) Patient Care Devices Technical Framework Volume 2 (PCD TF-2) Transactions")</f>
        <v>Integrating the Healthcare Enterprise (IHE) Patient Care Devices Technical Framework Volume 2 (PCD TF-2) Transactions</v>
      </c>
      <c r="B3725" s="4" t="s">
        <v>6707</v>
      </c>
      <c r="C3725" s="8" t="s">
        <v>5</v>
      </c>
      <c r="D3725" s="11" t="s">
        <v>6719</v>
      </c>
    </row>
    <row r="3726" spans="1:4" ht="30">
      <c r="A3726" s="5" t="str">
        <f>HYPERLINK("https://www.oit.va.gov/Services/TRM/StandardPage.aspx?tid=14005^","Audit Trail and Node Authentication (ATNA) Integration Profile")</f>
        <v>Audit Trail and Node Authentication (ATNA) Integration Profile</v>
      </c>
      <c r="B3726" s="4" t="s">
        <v>6707</v>
      </c>
      <c r="C3726" s="8" t="s">
        <v>5</v>
      </c>
      <c r="D3726" s="11" t="s">
        <v>7504</v>
      </c>
    </row>
    <row r="3727" spans="1:4" ht="45">
      <c r="A3727" s="5" t="str">
        <f>HYPERLINK("https://www.oit.va.gov/Services/TRM/StandardPage.aspx?tid=6321^","Integrating the Healthcare Enterprise (IHE) Patient Care Devices (PCD) Technical Framework Supplement Alarm Communication Management (ACM)")</f>
        <v>Integrating the Healthcare Enterprise (IHE) Patient Care Devices (PCD) Technical Framework Supplement Alarm Communication Management (ACM)</v>
      </c>
      <c r="B3727" s="4" t="s">
        <v>6707</v>
      </c>
      <c r="C3727" s="8" t="s">
        <v>5</v>
      </c>
      <c r="D3727" s="11" t="s">
        <v>6708</v>
      </c>
    </row>
    <row r="3728" spans="1:4" ht="45">
      <c r="A3728" s="5" t="str">
        <f>HYPERLINK("https://www.oit.va.gov/Services/TRM/StandardPage.aspx?tid=6322^","Integrating the Healthcare Enterprise (IHE) Patient Care Devices (PCD) Technical Framework Supplement Infusion Pump Event Communication (IPEC)")</f>
        <v>Integrating the Healthcare Enterprise (IHE) Patient Care Devices (PCD) Technical Framework Supplement Infusion Pump Event Communication (IPEC)</v>
      </c>
      <c r="B3728" s="4" t="s">
        <v>6707</v>
      </c>
      <c r="C3728" s="8" t="s">
        <v>5</v>
      </c>
      <c r="D3728" s="11" t="s">
        <v>6719</v>
      </c>
    </row>
    <row r="3729" spans="1:4" ht="30">
      <c r="A3729" s="5" t="str">
        <f>HYPERLINK("https://www.oit.va.gov/Services/TRM/ToolPage.aspx?tid=15314^","PrompterPro 4")</f>
        <v>PrompterPro 4</v>
      </c>
      <c r="B3729" s="4" t="s">
        <v>4663</v>
      </c>
      <c r="C3729" s="8" t="s">
        <v>5</v>
      </c>
      <c r="D3729" s="11" t="s">
        <v>3362</v>
      </c>
    </row>
    <row r="3730" spans="1:4" ht="30">
      <c r="A3730" s="5" t="str">
        <f>HYPERLINK("https://www.oit.va.gov/Services/TRM/ToolPage.aspx?tid=11207^","GenomeStudio")</f>
        <v>GenomeStudio</v>
      </c>
      <c r="B3730" s="4" t="s">
        <v>2124</v>
      </c>
      <c r="C3730" s="8" t="s">
        <v>5</v>
      </c>
      <c r="D3730" s="11" t="s">
        <v>1341</v>
      </c>
    </row>
    <row r="3731" spans="1:4" ht="30">
      <c r="A3731" s="5" t="str">
        <f>HYPERLINK("https://www.oit.va.gov/Services/TRM/ToolPage.aspx?tid=16335^","BaseSpace Sequence Hub command line interface (CLI)")</f>
        <v>BaseSpace Sequence Hub command line interface (CLI)</v>
      </c>
      <c r="B3731" s="4" t="s">
        <v>2124</v>
      </c>
      <c r="C3731" s="8" t="s">
        <v>5</v>
      </c>
      <c r="D3731" s="11" t="s">
        <v>3817</v>
      </c>
    </row>
    <row r="3732" spans="1:4" ht="30">
      <c r="A3732" s="5" t="str">
        <f>HYPERLINK("https://www.oit.va.gov/Services/TRM/ToolPage.aspx?tid=16158^","Illumina DRAGEN Bio-Information Technology (Bio-IT) Platform")</f>
        <v>Illumina DRAGEN Bio-Information Technology (Bio-IT) Platform</v>
      </c>
      <c r="B3732" s="4" t="s">
        <v>2124</v>
      </c>
      <c r="C3732" s="8" t="s">
        <v>5</v>
      </c>
      <c r="D3732" s="11" t="s">
        <v>4249</v>
      </c>
    </row>
    <row r="3733" spans="1:4" ht="30">
      <c r="A3733" s="5" t="str">
        <f>HYPERLINK("https://www.oit.va.gov/Services/TRM/ToolPage.aspx?tid=11707^","Beeline")</f>
        <v>Beeline</v>
      </c>
      <c r="B3733" s="4" t="s">
        <v>2124</v>
      </c>
      <c r="C3733" s="8" t="s">
        <v>5</v>
      </c>
      <c r="D3733" s="11" t="s">
        <v>2431</v>
      </c>
    </row>
    <row r="3734" spans="1:4" ht="30">
      <c r="A3734" s="5" t="str">
        <f>HYPERLINK("https://www.oit.va.gov/Services/TRM/ToolPage.aspx?tid=16391^","Sequencing Analysis Viewer (SAV)")</f>
        <v>Sequencing Analysis Viewer (SAV)</v>
      </c>
      <c r="B3734" s="4" t="s">
        <v>2124</v>
      </c>
      <c r="C3734" s="8" t="s">
        <v>5</v>
      </c>
      <c r="D3734" s="11" t="s">
        <v>7129</v>
      </c>
    </row>
    <row r="3735" spans="1:4" ht="30">
      <c r="A3735" s="5" t="str">
        <f>HYPERLINK("https://www.oit.va.gov/Services/TRM/ToolPage.aspx?tid=16531^","EKC Testbed")</f>
        <v>EKC Testbed</v>
      </c>
      <c r="B3735" s="4" t="s">
        <v>7841</v>
      </c>
      <c r="C3735" s="8" t="s">
        <v>5</v>
      </c>
      <c r="D3735" s="11" t="s">
        <v>5980</v>
      </c>
    </row>
    <row r="3736" spans="1:4" ht="30">
      <c r="A3736" s="5" t="str">
        <f>HYPERLINK("https://www.oit.va.gov/Services/TRM/ToolPage.aspx?tid=13098^","OpenText Imaging for Windows")</f>
        <v>OpenText Imaging for Windows</v>
      </c>
      <c r="B3736" s="4" t="s">
        <v>8369</v>
      </c>
      <c r="C3736" s="8" t="s">
        <v>5</v>
      </c>
      <c r="D3736" s="11" t="s">
        <v>8370</v>
      </c>
    </row>
    <row r="3737" spans="1:4" ht="30">
      <c r="A3737" s="5" t="str">
        <f>HYPERLINK("https://www.oit.va.gov/Services/TRM/ToolPage.aspx?tid=9795^","EasySuite")</f>
        <v>EasySuite</v>
      </c>
      <c r="B3737" s="4" t="s">
        <v>1160</v>
      </c>
      <c r="C3737" s="8" t="s">
        <v>5</v>
      </c>
      <c r="D3737" s="11" t="s">
        <v>1161</v>
      </c>
    </row>
    <row r="3738" spans="1:4" ht="30">
      <c r="A3738" s="5" t="str">
        <f>HYPERLINK("https://www.oit.va.gov/Services/TRM/ToolPage.aspx?tid=7754^","ImageMagick")</f>
        <v>ImageMagick</v>
      </c>
      <c r="B3738" s="4" t="s">
        <v>2661</v>
      </c>
      <c r="C3738" s="8" t="s">
        <v>5</v>
      </c>
      <c r="D3738" s="11" t="s">
        <v>2662</v>
      </c>
    </row>
    <row r="3739" spans="1:4" ht="30">
      <c r="A3739" s="5" t="str">
        <f>HYPERLINK("https://www.oit.va.gov/Services/TRM/ToolPage.aspx?tid=5970^","EPI Builder")</f>
        <v>EPI Builder</v>
      </c>
      <c r="B3739" s="4" t="s">
        <v>2556</v>
      </c>
      <c r="C3739" s="8" t="s">
        <v>5</v>
      </c>
      <c r="D3739" s="11" t="s">
        <v>979</v>
      </c>
    </row>
    <row r="3740" spans="1:4" ht="30">
      <c r="A3740" s="5" t="str">
        <f>HYPERLINK("https://www.oit.va.gov/Services/TRM/ToolPage.aspx?tid=5888^","Biometric Engine (BE)")</f>
        <v>Biometric Engine (BE)</v>
      </c>
      <c r="B3740" s="4" t="s">
        <v>2556</v>
      </c>
      <c r="C3740" s="8" t="s">
        <v>5</v>
      </c>
      <c r="D3740" s="11" t="s">
        <v>2095</v>
      </c>
    </row>
    <row r="3741" spans="1:4" ht="30">
      <c r="A3741" s="5" t="str">
        <f>HYPERLINK("https://www.oit.va.gov/Services/TRM/ToolPage.aspx?tid=7235^","PreRoll Post")</f>
        <v>PreRoll Post</v>
      </c>
      <c r="B3741" s="4" t="s">
        <v>1200</v>
      </c>
      <c r="C3741" s="8" t="s">
        <v>5</v>
      </c>
      <c r="D3741" s="11" t="s">
        <v>1201</v>
      </c>
    </row>
    <row r="3742" spans="1:4" ht="30">
      <c r="A3742" s="5" t="str">
        <f>HYPERLINK("https://www.oit.va.gov/Services/TRM/ToolPage.aspx?tid=7236^","PrimeTranscoder")</f>
        <v>PrimeTranscoder</v>
      </c>
      <c r="B3742" s="4" t="s">
        <v>1200</v>
      </c>
      <c r="C3742" s="8" t="s">
        <v>5</v>
      </c>
      <c r="D3742" s="11" t="s">
        <v>468</v>
      </c>
    </row>
    <row r="3743" spans="1:4" ht="30">
      <c r="A3743" s="5" t="str">
        <f>HYPERLINK("https://www.oit.va.gov/Services/TRM/ToolPage.aspx?tid=14545^","Shotput Pro")</f>
        <v>Shotput Pro</v>
      </c>
      <c r="B3743" s="4" t="s">
        <v>1200</v>
      </c>
      <c r="C3743" s="8" t="s">
        <v>5</v>
      </c>
      <c r="D3743" s="11" t="s">
        <v>3517</v>
      </c>
    </row>
    <row r="3744" spans="1:4" ht="30">
      <c r="A3744" s="5" t="str">
        <f>HYPERLINK("https://www.oit.va.gov/Services/TRM/ToolPage.aspx?tid=7989^","ExtendSim")</f>
        <v>ExtendSim</v>
      </c>
      <c r="B3744" s="4" t="s">
        <v>2247</v>
      </c>
      <c r="C3744" s="8" t="s">
        <v>5</v>
      </c>
      <c r="D3744" s="11" t="s">
        <v>2248</v>
      </c>
    </row>
    <row r="3745" spans="1:4" ht="30">
      <c r="A3745" s="5" t="str">
        <f>HYPERLINK("https://www.oit.va.gov/Services/TRM/ToolPage.aspx?tid=11025^","IMAGINiT Utilities for Revit")</f>
        <v>IMAGINiT Utilities for Revit</v>
      </c>
      <c r="B3745" s="4" t="s">
        <v>4253</v>
      </c>
      <c r="C3745" s="8" t="s">
        <v>5</v>
      </c>
      <c r="D3745" s="11" t="s">
        <v>3900</v>
      </c>
    </row>
    <row r="3746" spans="1:4" ht="30">
      <c r="A3746" s="5" t="str">
        <f>HYPERLINK("https://www.oit.va.gov/Services/TRM/ToolPage.aspx?tid=9426^","ImageResizer")</f>
        <v>ImageResizer</v>
      </c>
      <c r="B3746" s="4" t="s">
        <v>5243</v>
      </c>
      <c r="C3746" s="8" t="s">
        <v>5</v>
      </c>
      <c r="D3746" s="11" t="s">
        <v>5244</v>
      </c>
    </row>
    <row r="3747" spans="1:4" ht="30">
      <c r="A3747" s="5" t="str">
        <f>HYPERLINK("https://www.oit.va.gov/Services/TRM/ToolPage.aspx?tid=13995^","iMazing")</f>
        <v>iMazing</v>
      </c>
      <c r="B3747" s="4" t="s">
        <v>8065</v>
      </c>
      <c r="C3747" s="8" t="s">
        <v>5</v>
      </c>
      <c r="D3747" s="11" t="s">
        <v>8066</v>
      </c>
    </row>
    <row r="3748" spans="1:4" ht="30">
      <c r="A3748" s="5" t="str">
        <f>HYPERLINK("https://www.oit.va.gov/Services/TRM/ToolPage.aspx?tid=10247^","MetaVision Anesthesia Information Management System (AIMS)")</f>
        <v>MetaVision Anesthesia Information Management System (AIMS)</v>
      </c>
      <c r="B3748" s="4" t="s">
        <v>5946</v>
      </c>
      <c r="C3748" s="8" t="s">
        <v>5</v>
      </c>
      <c r="D3748" s="11" t="s">
        <v>5947</v>
      </c>
    </row>
    <row r="3749" spans="1:4" ht="30">
      <c r="A3749" s="5" t="str">
        <f>HYPERLINK("https://www.oit.va.gov/Services/TRM/ToolPage.aspx?tid=10387^","MetaVision VistA Application Programming Interface (API)")</f>
        <v>MetaVision VistA Application Programming Interface (API)</v>
      </c>
      <c r="B3749" s="4" t="s">
        <v>5946</v>
      </c>
      <c r="C3749" s="8" t="s">
        <v>5</v>
      </c>
      <c r="D3749" s="11" t="s">
        <v>8252</v>
      </c>
    </row>
    <row r="3750" spans="1:4" ht="30">
      <c r="A3750" s="5" t="str">
        <f>HYPERLINK("https://www.oit.va.gov/Services/TRM/ToolPage.aspx?tid=7546^","Integrated Research Information System (iRIS)")</f>
        <v>Integrated Research Information System (iRIS)</v>
      </c>
      <c r="B3750" s="4" t="s">
        <v>2670</v>
      </c>
      <c r="C3750" s="8" t="s">
        <v>5</v>
      </c>
      <c r="D3750" s="11" t="s">
        <v>32</v>
      </c>
    </row>
    <row r="3751" spans="1:4" ht="30">
      <c r="A3751" s="5" t="str">
        <f>HYPERLINK("https://www.oit.va.gov/Services/TRM/ToolPage.aspx?tid=6003^","ImgBurn")</f>
        <v>ImgBurn</v>
      </c>
      <c r="B3751" s="4" t="s">
        <v>6190</v>
      </c>
      <c r="C3751" s="8" t="s">
        <v>5</v>
      </c>
      <c r="D3751" s="11" t="s">
        <v>6191</v>
      </c>
    </row>
    <row r="3752" spans="1:4" ht="30">
      <c r="A3752" s="5" t="str">
        <f>HYPERLINK("https://www.oit.va.gov/Services/TRM/ToolPage.aspx?tid=15954^","Immuta")</f>
        <v>Immuta</v>
      </c>
      <c r="B3752" s="4" t="s">
        <v>422</v>
      </c>
      <c r="C3752" s="8" t="s">
        <v>5</v>
      </c>
      <c r="D3752" s="11" t="s">
        <v>423</v>
      </c>
    </row>
    <row r="3753" spans="1:4" ht="30">
      <c r="A3753" s="5" t="str">
        <f>HYPERLINK("https://www.oit.va.gov/Services/TRM/ToolPage.aspx?tid=9343^","PhoneGuide Live")</f>
        <v>PhoneGuide Live</v>
      </c>
      <c r="B3753" s="4" t="s">
        <v>8427</v>
      </c>
      <c r="C3753" s="8" t="s">
        <v>5</v>
      </c>
      <c r="D3753" s="11" t="s">
        <v>5449</v>
      </c>
    </row>
    <row r="3754" spans="1:4" ht="30">
      <c r="A3754" s="5" t="str">
        <f>HYPERLINK("https://www.oit.va.gov/Services/TRM/ToolPage.aspx?tid=9229^","Traffic Analyst")</f>
        <v>Traffic Analyst</v>
      </c>
      <c r="B3754" s="4" t="s">
        <v>8427</v>
      </c>
      <c r="C3754" s="8" t="s">
        <v>5</v>
      </c>
      <c r="D3754" s="11" t="s">
        <v>4301</v>
      </c>
    </row>
    <row r="3755" spans="1:4" ht="30">
      <c r="A3755" s="5" t="str">
        <f>HYPERLINK("https://www.oit.va.gov/Services/TRM/ToolPage.aspx?tid=14882^","BodyComp Analysis")</f>
        <v>BodyComp Analysis</v>
      </c>
      <c r="B3755" s="4" t="s">
        <v>3849</v>
      </c>
      <c r="C3755" s="8" t="s">
        <v>5</v>
      </c>
      <c r="D3755" s="11" t="s">
        <v>923</v>
      </c>
    </row>
    <row r="3756" spans="1:4" ht="30">
      <c r="A3756" s="5" t="str">
        <f>HYPERLINK("https://www.oit.va.gov/Services/TRM/ToolPage.aspx?tid=10931^","Impinj MultiReader Software")</f>
        <v>Impinj MultiReader Software</v>
      </c>
      <c r="B3756" s="4" t="s">
        <v>6709</v>
      </c>
      <c r="C3756" s="8" t="s">
        <v>5</v>
      </c>
      <c r="D3756" s="11" t="s">
        <v>5031</v>
      </c>
    </row>
    <row r="3757" spans="1:4" ht="30">
      <c r="A3757" s="5" t="str">
        <f>HYPERLINK("https://www.oit.va.gov/Services/TRM/ToolPage.aspx?tid=7517^","NamePrint Graphics")</f>
        <v>NamePrint Graphics</v>
      </c>
      <c r="B3757" s="4" t="s">
        <v>8298</v>
      </c>
      <c r="C3757" s="8" t="s">
        <v>5</v>
      </c>
      <c r="D3757" s="11" t="s">
        <v>8299</v>
      </c>
    </row>
    <row r="3758" spans="1:4" ht="30">
      <c r="A3758" s="5" t="str">
        <f>HYPERLINK("https://www.oit.va.gov/Services/TRM/ToolPage.aspx?tid=34^","Imprivata Caradigm Single Sign-On (SSO) and Context Management (CM)")</f>
        <v>Imprivata Caradigm Single Sign-On (SSO) and Context Management (CM)</v>
      </c>
      <c r="B3758" s="4" t="s">
        <v>219</v>
      </c>
      <c r="C3758" s="8" t="s">
        <v>5</v>
      </c>
      <c r="D3758" s="11" t="s">
        <v>220</v>
      </c>
    </row>
    <row r="3759" spans="1:4" ht="30">
      <c r="A3759" s="5" t="str">
        <f>HYPERLINK("https://www.oit.va.gov/Services/TRM/ToolPage.aspx?tid=15985^","Imprivata Enterprise Access Management (EAM) with Single Sign-On (SSO)")</f>
        <v>Imprivata Enterprise Access Management (EAM) with Single Sign-On (SSO)</v>
      </c>
      <c r="B3759" s="4" t="s">
        <v>219</v>
      </c>
      <c r="C3759" s="8" t="s">
        <v>5</v>
      </c>
      <c r="D3759" s="11" t="s">
        <v>1017</v>
      </c>
    </row>
    <row r="3760" spans="1:4" ht="30">
      <c r="A3760" s="5" t="str">
        <f>HYPERLINK("https://www.oit.va.gov/Services/TRM/ToolPage.aspx?tid=9000^","SecureLink Gatekeeper")</f>
        <v>SecureLink Gatekeeper</v>
      </c>
      <c r="B3760" s="4" t="s">
        <v>219</v>
      </c>
      <c r="C3760" s="8" t="s">
        <v>5</v>
      </c>
      <c r="D3760" s="11" t="s">
        <v>2314</v>
      </c>
    </row>
    <row r="3761" spans="1:4" ht="30">
      <c r="A3761" s="5" t="str">
        <f>HYPERLINK("https://www.oit.va.gov/Services/TRM/ToolPage.aspx?tid=16481^","Thanos")</f>
        <v>Thanos</v>
      </c>
      <c r="B3761" s="4" t="s">
        <v>4903</v>
      </c>
      <c r="C3761" s="8" t="s">
        <v>5</v>
      </c>
      <c r="D3761" s="11" t="s">
        <v>4904</v>
      </c>
    </row>
    <row r="3762" spans="1:4" ht="30">
      <c r="A3762" s="5" t="str">
        <f>HYPERLINK("https://www.oit.va.gov/Services/TRM/ToolPage.aspx?tid=14862^","MatchPro")</f>
        <v>MatchPro</v>
      </c>
      <c r="B3762" s="4" t="s">
        <v>8225</v>
      </c>
      <c r="C3762" s="8" t="s">
        <v>5</v>
      </c>
      <c r="D3762" s="11" t="s">
        <v>4372</v>
      </c>
    </row>
    <row r="3763" spans="1:4" ht="30">
      <c r="A3763" s="5" t="str">
        <f>HYPERLINK("https://www.oit.va.gov/Services/TRM/ToolPage.aspx?tid=15836^","Power Film Application Software")</f>
        <v>Power Film Application Software</v>
      </c>
      <c r="B3763" s="4" t="s">
        <v>4629</v>
      </c>
      <c r="C3763" s="8" t="s">
        <v>5</v>
      </c>
      <c r="D3763" s="11" t="s">
        <v>4630</v>
      </c>
    </row>
    <row r="3764" spans="1:4" ht="30">
      <c r="A3764" s="5" t="str">
        <f>HYPERLINK("https://www.oit.va.gov/Services/TRM/ToolPage.aspx?tid=14657^","IncrediBuild")</f>
        <v>IncrediBuild</v>
      </c>
      <c r="B3764" s="4" t="s">
        <v>6710</v>
      </c>
      <c r="C3764" s="8" t="s">
        <v>5</v>
      </c>
      <c r="D3764" s="11" t="s">
        <v>2586</v>
      </c>
    </row>
    <row r="3765" spans="1:4" ht="30">
      <c r="A3765" s="5" t="str">
        <f>HYPERLINK("https://www.oit.va.gov/Services/TRM/ToolPage.aspx?tid=12898^","Independent Joint Photographic Experts Group (JPEG) Group")</f>
        <v>Independent Joint Photographic Experts Group (JPEG) Group</v>
      </c>
      <c r="B3765" s="4" t="s">
        <v>8072</v>
      </c>
      <c r="C3765" s="8" t="s">
        <v>5</v>
      </c>
      <c r="D3765" s="11" t="s">
        <v>8073</v>
      </c>
    </row>
    <row r="3766" spans="1:4" ht="30">
      <c r="A3766" s="5" t="str">
        <f>HYPERLINK("https://www.oit.va.gov/Services/TRM/ToolPage.aspx?tid=15437^","Electronic Citation and Warning System (eCWS) Project")</f>
        <v>Electronic Citation and Warning System (eCWS) Project</v>
      </c>
      <c r="B3766" s="4" t="s">
        <v>6569</v>
      </c>
      <c r="C3766" s="8" t="s">
        <v>5</v>
      </c>
      <c r="D3766" s="11" t="s">
        <v>6570</v>
      </c>
    </row>
    <row r="3767" spans="1:4" ht="30">
      <c r="A3767" s="5" t="str">
        <f>HYPERLINK("https://www.oit.va.gov/Services/TRM/ToolPage.aspx?tid=14750^","HALO Image Analysis Platform")</f>
        <v>HALO Image Analysis Platform</v>
      </c>
      <c r="B3767" s="4" t="s">
        <v>5841</v>
      </c>
      <c r="C3767" s="8" t="s">
        <v>5</v>
      </c>
      <c r="D3767" s="11" t="s">
        <v>5842</v>
      </c>
    </row>
    <row r="3768" spans="1:4" ht="30">
      <c r="A3768" s="5" t="str">
        <f>HYPERLINK("https://www.oit.va.gov/Services/TRM/ToolPage.aspx?tid=16640^","Ignition Supervisory Control and Data Acquisition (SCADA)")</f>
        <v>Ignition Supervisory Control and Data Acquisition (SCADA)</v>
      </c>
      <c r="B3768" s="4" t="s">
        <v>1611</v>
      </c>
      <c r="C3768" s="8" t="s">
        <v>5</v>
      </c>
      <c r="D3768" s="11" t="s">
        <v>1612</v>
      </c>
    </row>
    <row r="3769" spans="1:4" ht="30">
      <c r="A3769" s="5" t="str">
        <f>HYPERLINK("https://www.oit.va.gov/Services/TRM/ToolPage.aspx?tid=7642^","Industrial Scientific Accessory Software (ISAS)")</f>
        <v>Industrial Scientific Accessory Software (ISAS)</v>
      </c>
      <c r="B3769" s="4" t="s">
        <v>8074</v>
      </c>
      <c r="C3769" s="8" t="s">
        <v>5</v>
      </c>
      <c r="D3769" s="11" t="s">
        <v>8075</v>
      </c>
    </row>
    <row r="3770" spans="1:4" ht="30">
      <c r="A3770" s="5" t="str">
        <f>HYPERLINK("https://www.oit.va.gov/Services/TRM/ToolPage.aspx?tid=9230^","V-Cal Calibration Station Software")</f>
        <v>V-Cal Calibration Station Software</v>
      </c>
      <c r="B3770" s="4" t="s">
        <v>8074</v>
      </c>
      <c r="C3770" s="8" t="s">
        <v>5</v>
      </c>
      <c r="D3770" s="11" t="s">
        <v>8864</v>
      </c>
    </row>
    <row r="3771" spans="1:4" ht="30">
      <c r="A3771" s="5" t="str">
        <f>HYPERLINK("https://www.oit.va.gov/Services/TRM/ToolPage.aspx?tid=5022^","i-net Java Database Connectivity (JDBC) Drivers")</f>
        <v>i-net Java Database Connectivity (JDBC) Drivers</v>
      </c>
      <c r="B3771" s="4" t="s">
        <v>6711</v>
      </c>
      <c r="C3771" s="8" t="s">
        <v>5</v>
      </c>
      <c r="D3771" s="11" t="s">
        <v>3325</v>
      </c>
    </row>
    <row r="3772" spans="1:4" ht="30">
      <c r="A3772" s="5" t="str">
        <f>HYPERLINK("https://www.oit.va.gov/Services/TRM/ToolPage.aspx?tid=13349^","Dasher On-screen Keyboard")</f>
        <v>Dasher On-screen Keyboard</v>
      </c>
      <c r="B3772" s="4" t="s">
        <v>6477</v>
      </c>
      <c r="C3772" s="8" t="s">
        <v>5</v>
      </c>
      <c r="D3772" s="11" t="s">
        <v>6478</v>
      </c>
    </row>
    <row r="3773" spans="1:4" ht="30">
      <c r="A3773" s="5" t="str">
        <f>HYPERLINK("https://www.oit.va.gov/Services/TRM/ToolPage.aspx?tid=14650^","AssetWorx!")</f>
        <v>AssetWorx!</v>
      </c>
      <c r="B3773" s="4" t="s">
        <v>1319</v>
      </c>
      <c r="C3773" s="8" t="s">
        <v>5</v>
      </c>
      <c r="D3773" s="11" t="s">
        <v>1320</v>
      </c>
    </row>
    <row r="3774" spans="1:4" ht="30">
      <c r="A3774" s="5" t="str">
        <f>HYPERLINK("https://www.oit.va.gov/Services/TRM/ToolPage.aspx?tid=15906^","Sense Catalyst")</f>
        <v>Sense Catalyst</v>
      </c>
      <c r="B3774" s="4" t="s">
        <v>8616</v>
      </c>
      <c r="C3774" s="8" t="s">
        <v>5</v>
      </c>
      <c r="D3774" s="11" t="s">
        <v>4722</v>
      </c>
    </row>
    <row r="3775" spans="1:4" ht="30">
      <c r="A3775" s="5" t="str">
        <f>HYPERLINK("https://www.oit.va.gov/Services/TRM/ToolPage.aspx?tid=9094^","Sustainable Planner")</f>
        <v>Sustainable Planner</v>
      </c>
      <c r="B3775" s="4" t="s">
        <v>3006</v>
      </c>
      <c r="C3775" s="8" t="s">
        <v>5</v>
      </c>
      <c r="D3775" s="11" t="s">
        <v>3007</v>
      </c>
    </row>
    <row r="3776" spans="1:4" ht="30">
      <c r="A3776" s="5" t="str">
        <f>HYPERLINK("https://www.oit.va.gov/Services/TRM/ToolPage.aspx?tid=6629^","Cloverleaf Secure Courier")</f>
        <v>Cloverleaf Secure Courier</v>
      </c>
      <c r="B3776" s="4" t="s">
        <v>5717</v>
      </c>
      <c r="C3776" s="8" t="s">
        <v>5</v>
      </c>
      <c r="D3776" s="11" t="s">
        <v>5718</v>
      </c>
    </row>
    <row r="3777" spans="1:4" ht="30">
      <c r="A3777" s="5" t="str">
        <f>HYPERLINK("https://www.oit.va.gov/Services/TRM/ToolPage.aspx?tid=8912^","InfoRad Wireless")</f>
        <v>InfoRad Wireless</v>
      </c>
      <c r="B3777" s="4" t="s">
        <v>715</v>
      </c>
      <c r="C3777" s="8" t="s">
        <v>5</v>
      </c>
      <c r="D3777" s="11" t="s">
        <v>716</v>
      </c>
    </row>
    <row r="3778" spans="1:4" ht="30">
      <c r="A3778" s="5" t="str">
        <f>HYPERLINK("https://www.oit.va.gov/Services/TRM/ToolPage.aspx?tid=12899^","Data Archive (DA)")</f>
        <v>Data Archive (DA)</v>
      </c>
      <c r="B3778" s="4" t="s">
        <v>1479</v>
      </c>
      <c r="C3778" s="8" t="s">
        <v>5</v>
      </c>
      <c r="D3778" s="11" t="s">
        <v>1480</v>
      </c>
    </row>
    <row r="3779" spans="1:4" ht="30">
      <c r="A3779" s="5" t="str">
        <f>HYPERLINK("https://www.oit.va.gov/Services/TRM/ToolPage.aspx?tid=11704^","Informatica Master Data Management (MDM) Multidomain")</f>
        <v>Informatica Master Data Management (MDM) Multidomain</v>
      </c>
      <c r="B3779" s="4" t="s">
        <v>1479</v>
      </c>
      <c r="C3779" s="8" t="s">
        <v>5</v>
      </c>
      <c r="D3779" s="11" t="s">
        <v>1628</v>
      </c>
    </row>
    <row r="3780" spans="1:4" ht="30">
      <c r="A3780" s="5" t="str">
        <f>HYPERLINK("https://www.oit.va.gov/Services/TRM/ToolPage.aspx?tid=6644^","Informatica PowerCenter")</f>
        <v>Informatica PowerCenter</v>
      </c>
      <c r="B3780" s="4" t="s">
        <v>1479</v>
      </c>
      <c r="C3780" s="8" t="s">
        <v>5</v>
      </c>
      <c r="D3780" s="11" t="s">
        <v>1629</v>
      </c>
    </row>
    <row r="3781" spans="1:4" ht="30">
      <c r="A3781" s="5" t="str">
        <f>HYPERLINK("https://www.oit.va.gov/Services/TRM/ToolPage.aspx?tid=6645^","Informatica PowerExchange")</f>
        <v>Informatica PowerExchange</v>
      </c>
      <c r="B3781" s="4" t="s">
        <v>1479</v>
      </c>
      <c r="C3781" s="8" t="s">
        <v>5</v>
      </c>
      <c r="D3781" s="11" t="s">
        <v>1630</v>
      </c>
    </row>
    <row r="3782" spans="1:4" ht="30">
      <c r="A3782" s="5" t="str">
        <f>HYPERLINK("https://www.oit.va.gov/Services/TRM/ToolPage.aspx?tid=12940^","Test Data Management (TDM)")</f>
        <v>Test Data Management (TDM)</v>
      </c>
      <c r="B3782" s="4" t="s">
        <v>1479</v>
      </c>
      <c r="C3782" s="8" t="s">
        <v>5</v>
      </c>
      <c r="D3782" s="11" t="s">
        <v>1994</v>
      </c>
    </row>
    <row r="3783" spans="1:4" ht="30">
      <c r="A3783" s="5" t="str">
        <f>HYPERLINK("https://www.oit.va.gov/Services/TRM/ToolPage.aspx?tid=13036^","Axon Data Governance")</f>
        <v>Axon Data Governance</v>
      </c>
      <c r="B3783" s="4" t="s">
        <v>1479</v>
      </c>
      <c r="C3783" s="8" t="s">
        <v>5</v>
      </c>
      <c r="D3783" s="11" t="s">
        <v>2095</v>
      </c>
    </row>
    <row r="3784" spans="1:4" ht="30">
      <c r="A3784" s="5" t="str">
        <f>HYPERLINK("https://www.oit.va.gov/Services/TRM/ToolPage.aspx?tid=11685^","Informatica Enterprise Information Catalog")</f>
        <v>Informatica Enterprise Information Catalog</v>
      </c>
      <c r="B3784" s="4" t="s">
        <v>1479</v>
      </c>
      <c r="C3784" s="8" t="s">
        <v>5</v>
      </c>
      <c r="D3784" s="11" t="s">
        <v>990</v>
      </c>
    </row>
    <row r="3785" spans="1:4" ht="30">
      <c r="A3785" s="5" t="str">
        <f>HYPERLINK("https://www.oit.va.gov/Services/TRM/ToolPage.aspx?tid=6642^","Informatica Data Quality")</f>
        <v>Informatica Data Quality</v>
      </c>
      <c r="B3785" s="4" t="s">
        <v>1479</v>
      </c>
      <c r="C3785" s="8" t="s">
        <v>5</v>
      </c>
      <c r="D3785" s="11" t="s">
        <v>4259</v>
      </c>
    </row>
    <row r="3786" spans="1:4" ht="30">
      <c r="A3786" s="5" t="str">
        <f>HYPERLINK("https://www.oit.va.gov/Services/TRM/ToolPage.aspx?tid=6643^","Informatica Identity Resolution")</f>
        <v>Informatica Identity Resolution</v>
      </c>
      <c r="B3786" s="4" t="s">
        <v>1479</v>
      </c>
      <c r="C3786" s="8" t="s">
        <v>5</v>
      </c>
      <c r="D3786" s="11" t="s">
        <v>359</v>
      </c>
    </row>
    <row r="3787" spans="1:4" ht="30">
      <c r="A3787" s="5" t="str">
        <f>HYPERLINK("https://www.oit.va.gov/Services/TRM/ToolPage.aspx?tid=6989^","Persistent Data Masking")</f>
        <v>Persistent Data Masking</v>
      </c>
      <c r="B3787" s="4" t="s">
        <v>1479</v>
      </c>
      <c r="C3787" s="8" t="s">
        <v>5</v>
      </c>
      <c r="D3787" s="11" t="s">
        <v>3672</v>
      </c>
    </row>
    <row r="3788" spans="1:4" ht="30">
      <c r="A3788" s="5" t="str">
        <f>HYPERLINK("https://www.oit.va.gov/Services/TRM/ToolPage.aspx?tid=12934^","Data Privacy Management (DPM)")</f>
        <v>Data Privacy Management (DPM)</v>
      </c>
      <c r="B3788" s="4" t="s">
        <v>1479</v>
      </c>
      <c r="C3788" s="8" t="s">
        <v>5</v>
      </c>
      <c r="D3788" s="11" t="s">
        <v>681</v>
      </c>
    </row>
    <row r="3789" spans="1:4" ht="30">
      <c r="A3789" s="5" t="str">
        <f>HYPERLINK("https://www.oit.va.gov/Services/TRM/ToolPage.aspx?tid=7081^","Informatics for Integrating Biology and the Bedside (i2b2)")</f>
        <v>Informatics for Integrating Biology and the Bedside (i2b2)</v>
      </c>
      <c r="B3789" s="4" t="s">
        <v>2142</v>
      </c>
      <c r="C3789" s="8" t="s">
        <v>5</v>
      </c>
      <c r="D3789" s="11" t="s">
        <v>2143</v>
      </c>
    </row>
    <row r="3790" spans="1:4" ht="30">
      <c r="A3790" s="5" t="str">
        <f>HYPERLINK("https://www.oit.va.gov/Services/TRM/ToolPage.aspx?tid=9820^","ZIP")</f>
        <v>ZIP</v>
      </c>
      <c r="B3790" s="4" t="s">
        <v>5604</v>
      </c>
      <c r="C3790" s="8" t="s">
        <v>5</v>
      </c>
      <c r="D3790" s="11" t="s">
        <v>5605</v>
      </c>
    </row>
    <row r="3791" spans="1:4" ht="30">
      <c r="A3791" s="5" t="str">
        <f>HYPERLINK("https://www.oit.va.gov/Services/TRM/ToolPage.aspx?tid=5980^","FS Pro")</f>
        <v>FS Pro</v>
      </c>
      <c r="B3791" s="4" t="s">
        <v>4160</v>
      </c>
      <c r="C3791" s="8" t="s">
        <v>5</v>
      </c>
      <c r="D3791" s="11" t="s">
        <v>4139</v>
      </c>
    </row>
    <row r="3792" spans="1:4" ht="30">
      <c r="A3792" s="5" t="str">
        <f>HYPERLINK("https://www.oit.va.gov/Services/TRM/ToolPage.aspx?tid=7908^","FusionCharts")</f>
        <v>FusionCharts</v>
      </c>
      <c r="B3792" s="4" t="s">
        <v>4166</v>
      </c>
      <c r="C3792" s="8" t="s">
        <v>5</v>
      </c>
      <c r="D3792" s="11" t="s">
        <v>4167</v>
      </c>
    </row>
    <row r="3793" spans="1:4" ht="30">
      <c r="A3793" s="5" t="str">
        <f>HYPERLINK("https://www.oit.va.gov/Services/TRM/ToolPage.aspx?tid=7893^","Attendance Enterprise")</f>
        <v>Attendance Enterprise</v>
      </c>
      <c r="B3793" s="4" t="s">
        <v>2391</v>
      </c>
      <c r="C3793" s="8" t="s">
        <v>5</v>
      </c>
      <c r="D3793" s="11" t="s">
        <v>368</v>
      </c>
    </row>
    <row r="3794" spans="1:4" ht="30">
      <c r="A3794" s="5" t="str">
        <f>HYPERLINK("https://www.oit.va.gov/Services/TRM/ToolPage.aspx?tid=8626^","Infragistics ASP.Net")</f>
        <v>Infragistics ASP.Net</v>
      </c>
      <c r="B3794" s="4" t="s">
        <v>130</v>
      </c>
      <c r="C3794" s="8" t="s">
        <v>5</v>
      </c>
      <c r="D3794" s="11" t="s">
        <v>131</v>
      </c>
    </row>
    <row r="3795" spans="1:4" ht="30">
      <c r="A3795" s="5" t="str">
        <f>HYPERLINK("https://www.oit.va.gov/Services/TRM/ToolPage.aspx?tid=11182^","Infragistics ActiveThreed Plus")</f>
        <v>Infragistics ActiveThreed Plus</v>
      </c>
      <c r="B3795" s="4" t="s">
        <v>130</v>
      </c>
      <c r="C3795" s="8" t="s">
        <v>5</v>
      </c>
      <c r="D3795" s="11" t="s">
        <v>8082</v>
      </c>
    </row>
    <row r="3796" spans="1:4" ht="30">
      <c r="A3796" s="5" t="str">
        <f>HYPERLINK("https://www.oit.va.gov/Services/TRM/ToolPage.aspx?tid=13413^","InfraRecorder")</f>
        <v>InfraRecorder</v>
      </c>
      <c r="B3796" s="4" t="s">
        <v>8083</v>
      </c>
      <c r="C3796" s="8" t="s">
        <v>5</v>
      </c>
      <c r="D3796" s="11" t="s">
        <v>8084</v>
      </c>
    </row>
    <row r="3797" spans="1:4" ht="30">
      <c r="A3797" s="5" t="str">
        <f>HYPERLINK("https://www.oit.va.gov/Services/TRM/ToolPage.aspx?tid=14690^","Syntelate XA")</f>
        <v>Syntelate XA</v>
      </c>
      <c r="B3797" s="4" t="s">
        <v>1983</v>
      </c>
      <c r="C3797" s="8" t="s">
        <v>5</v>
      </c>
      <c r="D3797" s="11" t="s">
        <v>1238</v>
      </c>
    </row>
    <row r="3798" spans="1:4" ht="30">
      <c r="A3798" s="5" t="str">
        <f>HYPERLINK("https://www.oit.va.gov/Services/TRM/ToolPage.aspx?tid=14219^","RFTrack")</f>
        <v>RFTrack</v>
      </c>
      <c r="B3798" s="4" t="s">
        <v>4740</v>
      </c>
      <c r="C3798" s="8" t="s">
        <v>5</v>
      </c>
      <c r="D3798" s="11" t="s">
        <v>4741</v>
      </c>
    </row>
    <row r="3799" spans="1:4" ht="30">
      <c r="A3799" s="5" t="str">
        <f>HYPERLINK("https://www.oit.va.gov/Services/TRM/ToolPage.aspx?tid=15253^","The Visitor")</f>
        <v>The Visitor</v>
      </c>
      <c r="B3799" s="4" t="s">
        <v>1995</v>
      </c>
      <c r="C3799" s="8" t="s">
        <v>5</v>
      </c>
      <c r="D3799" s="11" t="s">
        <v>1980</v>
      </c>
    </row>
    <row r="3800" spans="1:4" ht="30">
      <c r="A3800" s="5" t="str">
        <f>HYPERLINK("https://www.oit.va.gov/Services/TRM/ToolPage.aspx?tid=14231^","NEXiA")</f>
        <v>NEXiA</v>
      </c>
      <c r="B3800" s="4" t="s">
        <v>4495</v>
      </c>
      <c r="C3800" s="8" t="s">
        <v>5</v>
      </c>
      <c r="D3800" s="11" t="s">
        <v>793</v>
      </c>
    </row>
    <row r="3801" spans="1:4" ht="30">
      <c r="A3801" s="5" t="str">
        <f>HYPERLINK("https://www.oit.va.gov/Services/TRM/ToolPage.aspx?tid=8301^","clearView")</f>
        <v>clearView</v>
      </c>
      <c r="B3801" s="4" t="s">
        <v>3923</v>
      </c>
      <c r="C3801" s="8" t="s">
        <v>5</v>
      </c>
      <c r="D3801" s="11" t="s">
        <v>3924</v>
      </c>
    </row>
    <row r="3802" spans="1:4" ht="30">
      <c r="A3802" s="5" t="str">
        <f>HYPERLINK("https://www.oit.va.gov/Services/TRM/ToolPage.aspx?tid=10602^","Remote Education, Augmented Communication, Training and Supervision (REACTS)")</f>
        <v>Remote Education, Augmented Communication, Training and Supervision (REACTS)</v>
      </c>
      <c r="B3802" s="4" t="s">
        <v>8557</v>
      </c>
      <c r="C3802" s="8" t="s">
        <v>5</v>
      </c>
      <c r="D3802" s="11" t="s">
        <v>7990</v>
      </c>
    </row>
    <row r="3803" spans="1:4" ht="30">
      <c r="A3803" s="5" t="str">
        <f>HYPERLINK("https://www.oit.va.gov/Services/TRM/ToolPage.aspx?tid=6733^","Sierra Desktop")</f>
        <v>Sierra Desktop</v>
      </c>
      <c r="B3803" s="4" t="s">
        <v>1921</v>
      </c>
      <c r="C3803" s="8" t="s">
        <v>5</v>
      </c>
      <c r="D3803" s="11" t="s">
        <v>1922</v>
      </c>
    </row>
    <row r="3804" spans="1:4" ht="30">
      <c r="A3804" s="5" t="str">
        <f>HYPERLINK("https://www.oit.va.gov/Services/TRM/ToolPage.aspx?tid=10030^","TileFlow")</f>
        <v>TileFlow</v>
      </c>
      <c r="B3804" s="4" t="s">
        <v>2326</v>
      </c>
      <c r="C3804" s="8" t="s">
        <v>5</v>
      </c>
      <c r="D3804" s="11" t="s">
        <v>2327</v>
      </c>
    </row>
    <row r="3805" spans="1:4" ht="30">
      <c r="A3805" s="5" t="str">
        <f>HYPERLINK("https://www.oit.va.gov/Services/TRM/ToolPage.aspx?tid=8790^","FrameForge Storyboard Studio")</f>
        <v>FrameForge Storyboard Studio</v>
      </c>
      <c r="B3805" s="4" t="s">
        <v>6632</v>
      </c>
      <c r="C3805" s="8" t="s">
        <v>5</v>
      </c>
      <c r="D3805" s="11" t="s">
        <v>2254</v>
      </c>
    </row>
    <row r="3806" spans="1:4" ht="30">
      <c r="A3806" s="5" t="str">
        <f>HYPERLINK("https://www.oit.va.gov/Services/TRM/ToolPage.aspx?tid=9549^","Keypoint Interactive")</f>
        <v>Keypoint Interactive</v>
      </c>
      <c r="B3806" s="4" t="s">
        <v>8148</v>
      </c>
      <c r="C3806" s="8" t="s">
        <v>5</v>
      </c>
      <c r="D3806" s="11" t="s">
        <v>2679</v>
      </c>
    </row>
    <row r="3807" spans="1:4" ht="30">
      <c r="A3807" s="5" t="str">
        <f>HYPERLINK("https://www.oit.va.gov/Services/TRM/ToolPage.aspx?tid=15637^","DriverMax")</f>
        <v>DriverMax</v>
      </c>
      <c r="B3807" s="4" t="s">
        <v>7802</v>
      </c>
      <c r="C3807" s="8" t="s">
        <v>5</v>
      </c>
      <c r="D3807" s="11" t="s">
        <v>7803</v>
      </c>
    </row>
    <row r="3808" spans="1:4" ht="30">
      <c r="A3808" s="5" t="str">
        <f>HYPERLINK("https://www.oit.va.gov/Services/TRM/ToolPage.aspx?tid=6006^","Inova LightLink")</f>
        <v>Inova LightLink</v>
      </c>
      <c r="B3808" s="4" t="s">
        <v>7802</v>
      </c>
      <c r="C3808" s="8" t="s">
        <v>5</v>
      </c>
      <c r="D3808" s="11" t="s">
        <v>8085</v>
      </c>
    </row>
    <row r="3809" spans="1:4" ht="30">
      <c r="A3809" s="5" t="str">
        <f>HYPERLINK("https://www.oit.va.gov/Services/TRM/ToolPage.aspx?tid=9378^","SigmaStat")</f>
        <v>SigmaStat</v>
      </c>
      <c r="B3809" s="4" t="s">
        <v>2947</v>
      </c>
      <c r="C3809" s="8" t="s">
        <v>5</v>
      </c>
      <c r="D3809" s="11" t="s">
        <v>2948</v>
      </c>
    </row>
    <row r="3810" spans="1:4" ht="30">
      <c r="A3810" s="5" t="str">
        <f>HYPERLINK("https://www.oit.va.gov/Services/TRM/ToolPage.aspx?tid=8998^","Inpixon Mapping")</f>
        <v>Inpixon Mapping</v>
      </c>
      <c r="B3810" s="4" t="s">
        <v>2947</v>
      </c>
      <c r="C3810" s="8" t="s">
        <v>5</v>
      </c>
      <c r="D3810" s="11" t="s">
        <v>8086</v>
      </c>
    </row>
    <row r="3811" spans="1:4" ht="30">
      <c r="A3811" s="5" t="str">
        <f>HYPERLINK("https://www.oit.va.gov/Services/TRM/ToolPage.aspx?tid=14704^","InqScribe")</f>
        <v>InqScribe</v>
      </c>
      <c r="B3811" s="4" t="s">
        <v>4260</v>
      </c>
      <c r="C3811" s="8" t="s">
        <v>5</v>
      </c>
      <c r="D3811" s="11" t="s">
        <v>4261</v>
      </c>
    </row>
    <row r="3812" spans="1:4" ht="30">
      <c r="A3812" s="5" t="str">
        <f>HYPERLINK("https://www.oit.va.gov/Services/TRM/ToolPage.aspx?tid=7135^","InQuisient (IQ) Platform")</f>
        <v>InQuisient (IQ) Platform</v>
      </c>
      <c r="B3812" s="4" t="s">
        <v>8087</v>
      </c>
      <c r="C3812" s="8" t="s">
        <v>5</v>
      </c>
      <c r="D3812" s="11" t="s">
        <v>8088</v>
      </c>
    </row>
    <row r="3813" spans="1:4" ht="30">
      <c r="A3813" s="5" t="str">
        <f>HYPERLINK("https://www.oit.va.gov/Services/TRM/ToolPage.aspx?tid=11459^","U-Trap-it")</f>
        <v>U-Trap-it</v>
      </c>
      <c r="B3813" s="4" t="s">
        <v>3598</v>
      </c>
      <c r="C3813" s="8" t="s">
        <v>5</v>
      </c>
      <c r="D3813" s="11" t="s">
        <v>3599</v>
      </c>
    </row>
    <row r="3814" spans="1:4" ht="30">
      <c r="A3814" s="5" t="str">
        <f>HYPERLINK("https://www.oit.va.gov/Services/TRM/ToolPage.aspx?tid=6132^","ShortKeys")</f>
        <v>ShortKeys</v>
      </c>
      <c r="B3814" s="4" t="s">
        <v>2946</v>
      </c>
      <c r="C3814" s="8" t="s">
        <v>5</v>
      </c>
      <c r="D3814" s="11" t="s">
        <v>995</v>
      </c>
    </row>
    <row r="3815" spans="1:4" ht="30">
      <c r="A3815" s="5" t="str">
        <f>HYPERLINK("https://www.oit.va.gov/Services/TRM/ToolPage.aspx?tid=13739^","Macro Express")</f>
        <v>Macro Express</v>
      </c>
      <c r="B3815" s="4" t="s">
        <v>2946</v>
      </c>
      <c r="C3815" s="8" t="s">
        <v>5</v>
      </c>
      <c r="D3815" s="11" t="s">
        <v>1095</v>
      </c>
    </row>
    <row r="3816" spans="1:4" ht="30">
      <c r="A3816" s="5" t="str">
        <f>HYPERLINK("https://www.oit.va.gov/Services/TRM/ToolPage.aspx?tid=8138^","OrgPlus")</f>
        <v>OrgPlus</v>
      </c>
      <c r="B3816" s="4" t="s">
        <v>6200</v>
      </c>
      <c r="C3816" s="8" t="s">
        <v>5</v>
      </c>
      <c r="D3816" s="11" t="s">
        <v>6201</v>
      </c>
    </row>
    <row r="3817" spans="1:4" ht="30">
      <c r="A3817" s="5" t="str">
        <f>HYPERLINK("https://www.oit.va.gov/Services/TRM/ToolPage.aspx?tid=14264^","Inspire Cloud Desktop")</f>
        <v>Inspire Cloud Desktop</v>
      </c>
      <c r="B3817" s="4" t="s">
        <v>5876</v>
      </c>
      <c r="C3817" s="8" t="s">
        <v>5</v>
      </c>
      <c r="D3817" s="11" t="s">
        <v>5877</v>
      </c>
    </row>
    <row r="3818" spans="1:4" ht="30">
      <c r="A3818" s="5" t="str">
        <f>HYPERLINK("https://www.oit.va.gov/Services/TRM/ToolPage.aspx?tid=7300^","InspiroScan")</f>
        <v>InspiroScan</v>
      </c>
      <c r="B3818" s="4" t="s">
        <v>5252</v>
      </c>
      <c r="C3818" s="8" t="s">
        <v>5</v>
      </c>
      <c r="D3818" s="11" t="s">
        <v>5253</v>
      </c>
    </row>
    <row r="3819" spans="1:4" ht="30">
      <c r="A3819" s="5" t="str">
        <f>HYPERLINK("https://www.oit.va.gov/Services/TRM/ToolPage.aspx?tid=14458^","InstEd")</f>
        <v>InstEd</v>
      </c>
      <c r="B3819" s="4" t="s">
        <v>5254</v>
      </c>
      <c r="C3819" s="8" t="s">
        <v>5</v>
      </c>
      <c r="D3819" s="11" t="s">
        <v>513</v>
      </c>
    </row>
    <row r="3820" spans="1:4" ht="30">
      <c r="A3820" s="5" t="str">
        <f>HYPERLINK("https://www.oit.va.gov/Services/TRM/ToolPage.aspx?tid=15010^","Smart Verbal Autopsy (VA)")</f>
        <v>Smart Verbal Autopsy (VA)</v>
      </c>
      <c r="B3820" s="4" t="s">
        <v>8675</v>
      </c>
      <c r="C3820" s="8" t="s">
        <v>5</v>
      </c>
      <c r="D3820" s="11" t="s">
        <v>256</v>
      </c>
    </row>
    <row r="3821" spans="1:4" ht="30">
      <c r="A3821" s="5" t="str">
        <f>HYPERLINK("https://www.oit.va.gov/Services/TRM/ToolPage.aspx?tid=9922^","CmapTools")</f>
        <v>CmapTools</v>
      </c>
      <c r="B3821" s="4" t="s">
        <v>1438</v>
      </c>
      <c r="C3821" s="8" t="s">
        <v>5</v>
      </c>
      <c r="D3821" s="11" t="s">
        <v>1439</v>
      </c>
    </row>
    <row r="3822" spans="1:4" ht="30">
      <c r="A3822" s="5" t="str">
        <f>HYPERLINK("https://www.oit.va.gov/Services/TRM/ToolPage.aspx?tid=13941^","Canvas Learning Management System (LMS)")</f>
        <v>Canvas Learning Management System (LMS)</v>
      </c>
      <c r="B3822" s="4" t="s">
        <v>3873</v>
      </c>
      <c r="C3822" s="8" t="s">
        <v>5</v>
      </c>
      <c r="D3822" s="11" t="s">
        <v>3874</v>
      </c>
    </row>
    <row r="3823" spans="1:4" ht="30">
      <c r="A3823" s="5" t="str">
        <f>HYPERLINK("https://www.oit.va.gov/Services/TRM/ToolPage.aspx?tid=10402^","ROTEM connect")</f>
        <v>ROTEM connect</v>
      </c>
      <c r="B3823" s="4" t="s">
        <v>5485</v>
      </c>
      <c r="C3823" s="8" t="s">
        <v>5</v>
      </c>
      <c r="D3823" s="11" t="s">
        <v>5486</v>
      </c>
    </row>
    <row r="3824" spans="1:4" ht="30">
      <c r="A3824" s="5" t="str">
        <f>HYPERLINK("https://www.oit.va.gov/Services/TRM/ToolPage.aspx?tid=13163^","Hemochron Configuration Manager")</f>
        <v>Hemochron Configuration Manager</v>
      </c>
      <c r="B3824" s="4" t="s">
        <v>5485</v>
      </c>
      <c r="C3824" s="8" t="s">
        <v>5</v>
      </c>
      <c r="D3824" s="11" t="s">
        <v>1817</v>
      </c>
    </row>
    <row r="3825" spans="1:4" ht="30">
      <c r="A3825" s="5" t="str">
        <f>HYPERLINK("https://www.oit.va.gov/Services/TRM/ToolPage.aspx?tid=15290^","GEMweb Plus 500")</f>
        <v>GEMweb Plus 500</v>
      </c>
      <c r="B3825" s="4" t="s">
        <v>5485</v>
      </c>
      <c r="C3825" s="8" t="s">
        <v>5</v>
      </c>
      <c r="D3825" s="11" t="s">
        <v>6642</v>
      </c>
    </row>
    <row r="3826" spans="1:4" ht="30">
      <c r="A3826" s="5" t="str">
        <f>HYPERLINK("https://www.oit.va.gov/Services/TRM/ToolPage.aspx?tid=9109^","Account Ability")</f>
        <v>Account Ability</v>
      </c>
      <c r="B3826" s="4" t="s">
        <v>54</v>
      </c>
      <c r="C3826" s="8" t="s">
        <v>5</v>
      </c>
      <c r="D3826" s="11" t="s">
        <v>55</v>
      </c>
    </row>
    <row r="3827" spans="1:4" ht="30">
      <c r="A3827" s="5" t="str">
        <f>HYPERLINK("https://www.oit.va.gov/Services/TRM/ToolPage.aspx?tid=11266^","UCODE_2014")</f>
        <v>UCODE_2014</v>
      </c>
      <c r="B3827" s="4" t="s">
        <v>5559</v>
      </c>
      <c r="C3827" s="8" t="s">
        <v>5</v>
      </c>
      <c r="D3827" s="11" t="s">
        <v>137</v>
      </c>
    </row>
    <row r="3828" spans="1:4" ht="30">
      <c r="A3828" s="5" t="str">
        <f>HYPERLINK("https://www.oit.va.gov/Services/TRM/ToolPage.aspx?tid=8880^","Integrated Research (IR) Prognosis")</f>
        <v>Integrated Research (IR) Prognosis</v>
      </c>
      <c r="B3828" s="4" t="s">
        <v>5879</v>
      </c>
      <c r="C3828" s="8" t="s">
        <v>5</v>
      </c>
      <c r="D3828" s="11" t="s">
        <v>5880</v>
      </c>
    </row>
    <row r="3829" spans="1:4" ht="30">
      <c r="A3829" s="5" t="str">
        <f>HYPERLINK("https://www.oit.va.gov/Services/TRM/ToolPage.aspx?tid=15726^","Digital Intern")</f>
        <v>Digital Intern</v>
      </c>
      <c r="B3829" s="4" t="s">
        <v>4017</v>
      </c>
      <c r="C3829" s="8" t="s">
        <v>5</v>
      </c>
      <c r="D3829" s="11" t="s">
        <v>1337</v>
      </c>
    </row>
    <row r="3830" spans="1:4" ht="30">
      <c r="A3830" s="5" t="str">
        <f>HYPERLINK("https://www.oit.va.gov/Services/TRM/ToolPage.aspx?tid=10415^","PROSet/Wireless WiMAX Software")</f>
        <v>PROSet/Wireless WiMAX Software</v>
      </c>
      <c r="B3830" s="4" t="s">
        <v>2171</v>
      </c>
      <c r="C3830" s="8" t="s">
        <v>5</v>
      </c>
      <c r="D3830" s="11" t="s">
        <v>635</v>
      </c>
    </row>
    <row r="3831" spans="1:4" ht="30">
      <c r="A3831" s="5" t="str">
        <f>HYPERLINK("https://www.oit.va.gov/Services/TRM/ToolPage.aspx?tid=16533^","Intel Extreme Tuning Utility (XTU)")</f>
        <v>Intel Extreme Tuning Utility (XTU)</v>
      </c>
      <c r="B3831" s="4" t="s">
        <v>2171</v>
      </c>
      <c r="C3831" s="8" t="s">
        <v>5</v>
      </c>
      <c r="D3831" s="11" t="s">
        <v>3076</v>
      </c>
    </row>
    <row r="3832" spans="1:4" ht="30">
      <c r="A3832" s="5" t="str">
        <f>HYPERLINK("https://www.oit.va.gov/Services/TRM/ToolPage.aspx?tid=13224^","Priority Packet")</f>
        <v>Priority Packet</v>
      </c>
      <c r="B3832" s="4" t="s">
        <v>2171</v>
      </c>
      <c r="C3832" s="8" t="s">
        <v>5</v>
      </c>
      <c r="D3832" s="11" t="s">
        <v>7026</v>
      </c>
    </row>
    <row r="3833" spans="1:4" ht="30">
      <c r="A3833" s="5" t="str">
        <f>HYPERLINK("https://www.oit.va.gov/Services/TRM/ToolPage.aspx?tid=10582^","Wireless Display Software (WiDi)")</f>
        <v>Wireless Display Software (WiDi)</v>
      </c>
      <c r="B3833" s="4" t="s">
        <v>2171</v>
      </c>
      <c r="C3833" s="8" t="s">
        <v>5</v>
      </c>
      <c r="D3833" s="11" t="s">
        <v>6887</v>
      </c>
    </row>
    <row r="3834" spans="1:4" ht="30">
      <c r="A3834" s="5" t="str">
        <f>HYPERLINK("https://www.oit.va.gov/Services/TRM/ToolPage.aspx?tid=11168^","Expressway Service Gateway (ESG)")</f>
        <v>Expressway Service Gateway (ESG)</v>
      </c>
      <c r="B3834" s="4" t="s">
        <v>2171</v>
      </c>
      <c r="C3834" s="8" t="s">
        <v>5</v>
      </c>
      <c r="D3834" s="11" t="s">
        <v>1107</v>
      </c>
    </row>
    <row r="3835" spans="1:4" ht="30">
      <c r="A3835" s="5" t="str">
        <f>HYPERLINK("https://www.oit.va.gov/Services/TRM/ToolPage.aspx?tid=14450^","Hardware Accelerated Execution Manager (HAXM)")</f>
        <v>Hardware Accelerated Execution Manager (HAXM)</v>
      </c>
      <c r="B3835" s="4" t="s">
        <v>2171</v>
      </c>
      <c r="C3835" s="8" t="s">
        <v>5</v>
      </c>
      <c r="D3835" s="11" t="s">
        <v>8012</v>
      </c>
    </row>
    <row r="3836" spans="1:4" ht="30">
      <c r="A3836" s="5" t="str">
        <f>HYPERLINK("https://www.oit.va.gov/Services/TRM/ToolPage.aspx?tid=15457^","Precession")</f>
        <v>Precession</v>
      </c>
      <c r="B3836" s="4" t="s">
        <v>1856</v>
      </c>
      <c r="C3836" s="8" t="s">
        <v>5</v>
      </c>
      <c r="D3836" s="11" t="s">
        <v>453</v>
      </c>
    </row>
    <row r="3837" spans="1:4" ht="30">
      <c r="A3837" s="5" t="str">
        <f>HYPERLINK("https://www.oit.va.gov/Services/TRM/ToolPage.aspx?tid=7811^","InteleViewer")</f>
        <v>InteleViewer</v>
      </c>
      <c r="B3837" s="4" t="s">
        <v>1856</v>
      </c>
      <c r="C3837" s="8" t="s">
        <v>5</v>
      </c>
      <c r="D3837" s="11" t="s">
        <v>2672</v>
      </c>
    </row>
    <row r="3838" spans="1:4" ht="30">
      <c r="A3838" s="5" t="str">
        <f>HYPERLINK("https://www.oit.va.gov/Services/TRM/ToolPage.aspx?tid=14099^","Life Image Transfer Exchange (LITE)")</f>
        <v>Life Image Transfer Exchange (LITE)</v>
      </c>
      <c r="B3838" s="4" t="s">
        <v>1856</v>
      </c>
      <c r="C3838" s="8" t="s">
        <v>5</v>
      </c>
      <c r="D3838" s="11" t="s">
        <v>4814</v>
      </c>
    </row>
    <row r="3839" spans="1:4" ht="30">
      <c r="A3839" s="5" t="str">
        <f>HYPERLINK("https://www.oit.va.gov/Services/TRM/ToolPage.aspx?tid=10191^","Intelicode Physicians At Teaching Hospitals (P.A.T.H.)")</f>
        <v>Intelicode Physicians At Teaching Hospitals (P.A.T.H.)</v>
      </c>
      <c r="B3839" s="4" t="s">
        <v>1177</v>
      </c>
      <c r="C3839" s="8" t="s">
        <v>5</v>
      </c>
      <c r="D3839" s="11" t="s">
        <v>1178</v>
      </c>
    </row>
    <row r="3840" spans="1:4" ht="30">
      <c r="A3840" s="5" t="str">
        <f>HYPERLINK("https://www.oit.va.gov/Services/TRM/ToolPage.aspx?tid=13299^","Migration Toolkit")</f>
        <v>Migration Toolkit</v>
      </c>
      <c r="B3840" s="4" t="s">
        <v>3387</v>
      </c>
      <c r="C3840" s="8" t="s">
        <v>5</v>
      </c>
      <c r="D3840" s="11" t="s">
        <v>1367</v>
      </c>
    </row>
    <row r="3841" spans="1:4" ht="30">
      <c r="A3841" s="5" t="str">
        <f>HYPERLINK("https://www.oit.va.gov/Services/TRM/ToolPage.aspx?tid=14990^","PerfectIt")</f>
        <v>PerfectIt</v>
      </c>
      <c r="B3841" s="4" t="s">
        <v>1076</v>
      </c>
      <c r="C3841" s="8" t="s">
        <v>5</v>
      </c>
      <c r="D3841" s="11" t="s">
        <v>1077</v>
      </c>
    </row>
    <row r="3842" spans="1:4" ht="30">
      <c r="A3842" s="5" t="str">
        <f>HYPERLINK("https://www.oit.va.gov/Services/TRM/ToolPage.aspx?tid=14828^","Intelligent Hearing Systems SmartEP")</f>
        <v>Intelligent Hearing Systems SmartEP</v>
      </c>
      <c r="B3842" s="4" t="s">
        <v>4269</v>
      </c>
      <c r="C3842" s="8" t="s">
        <v>5</v>
      </c>
      <c r="D3842" s="11" t="s">
        <v>4270</v>
      </c>
    </row>
    <row r="3843" spans="1:4" ht="30">
      <c r="A3843" s="5" t="str">
        <f>HYPERLINK("https://www.oit.va.gov/Services/TRM/ToolPage.aspx?tid=16595^","IMO Precision Normalize")</f>
        <v>IMO Precision Normalize</v>
      </c>
      <c r="B3843" s="4" t="s">
        <v>1015</v>
      </c>
      <c r="C3843" s="8" t="s">
        <v>5</v>
      </c>
      <c r="D3843" s="11" t="s">
        <v>1016</v>
      </c>
    </row>
    <row r="3844" spans="1:4" ht="30">
      <c r="A3844" s="5" t="str">
        <f>HYPERLINK("https://www.oit.va.gov/Services/TRM/ToolPage.aspx?tid=11781^","Intelligent Recording Desktop Software")</f>
        <v>Intelligent Recording Desktop Software</v>
      </c>
      <c r="B3844" s="4" t="s">
        <v>6192</v>
      </c>
      <c r="C3844" s="8" t="s">
        <v>5</v>
      </c>
      <c r="D3844" s="11" t="s">
        <v>6193</v>
      </c>
    </row>
    <row r="3845" spans="1:4" ht="30">
      <c r="A3845" s="5" t="str">
        <f>HYPERLINK("https://www.oit.va.gov/Services/TRM/ToolPage.aspx?tid=14858^","Video Audio Learning Tool (VALT)")</f>
        <v>Video Audio Learning Tool (VALT)</v>
      </c>
      <c r="B3845" s="4" t="s">
        <v>3061</v>
      </c>
      <c r="C3845" s="8" t="s">
        <v>5</v>
      </c>
      <c r="D3845" s="11" t="s">
        <v>792</v>
      </c>
    </row>
    <row r="3846" spans="1:4" ht="30">
      <c r="A3846" s="5" t="str">
        <f>HYPERLINK("https://www.oit.va.gov/Services/TRM/ToolPage.aspx?tid=14929^","Quantum Plus Software")</f>
        <v>Quantum Plus Software</v>
      </c>
      <c r="B3846" s="4" t="s">
        <v>4683</v>
      </c>
      <c r="C3846" s="8" t="s">
        <v>5</v>
      </c>
      <c r="D3846" s="11" t="s">
        <v>4684</v>
      </c>
    </row>
    <row r="3847" spans="1:4" ht="30">
      <c r="A3847" s="5" t="str">
        <f>HYPERLINK("https://www.oit.va.gov/Services/TRM/ToolPage.aspx?tid=11735^","Affinity Suite")</f>
        <v>Affinity Suite</v>
      </c>
      <c r="B3847" s="4" t="s">
        <v>148</v>
      </c>
      <c r="C3847" s="8" t="s">
        <v>5</v>
      </c>
      <c r="D3847" s="11" t="s">
        <v>149</v>
      </c>
    </row>
    <row r="3848" spans="1:4" ht="30">
      <c r="A3848" s="5" t="str">
        <f>HYPERLINK("https://www.oit.va.gov/Services/TRM/ToolPage.aspx?tid=16530^","EyeSeeCam video head impulse test (vHIT)")</f>
        <v>EyeSeeCam video head impulse test (vHIT)</v>
      </c>
      <c r="B3848" s="4" t="s">
        <v>148</v>
      </c>
      <c r="C3848" s="8" t="s">
        <v>5</v>
      </c>
      <c r="D3848" s="11" t="s">
        <v>1864</v>
      </c>
    </row>
    <row r="3849" spans="1:4" ht="30">
      <c r="A3849" s="5" t="str">
        <f>HYPERLINK("https://www.oit.va.gov/Services/TRM/ToolPage.aspx?tid=14477^","Titan Suite")</f>
        <v>Titan Suite</v>
      </c>
      <c r="B3849" s="4" t="s">
        <v>148</v>
      </c>
      <c r="C3849" s="8" t="s">
        <v>5</v>
      </c>
      <c r="D3849" s="11" t="s">
        <v>4914</v>
      </c>
    </row>
    <row r="3850" spans="1:4" ht="30">
      <c r="A3850" s="5" t="str">
        <f>HYPERLINK("https://www.oit.va.gov/Services/TRM/ToolPage.aspx?tid=14569^","Viot Suite Setup")</f>
        <v>Viot Suite Setup</v>
      </c>
      <c r="B3850" s="4" t="s">
        <v>148</v>
      </c>
      <c r="C3850" s="8" t="s">
        <v>5</v>
      </c>
      <c r="D3850" s="11" t="s">
        <v>4970</v>
      </c>
    </row>
    <row r="3851" spans="1:4" ht="30">
      <c r="A3851" s="5" t="str">
        <f>HYPERLINK("https://www.oit.va.gov/Services/TRM/ToolPage.aspx?tid=15458^","VisualEyes 515/525 Videonystagmograpghy (VNG) system")</f>
        <v>VisualEyes 515/525 Videonystagmograpghy (VNG) system</v>
      </c>
      <c r="B3851" s="4" t="s">
        <v>148</v>
      </c>
      <c r="C3851" s="8" t="s">
        <v>5</v>
      </c>
      <c r="D3851" s="11" t="s">
        <v>4854</v>
      </c>
    </row>
    <row r="3852" spans="1:4" ht="30">
      <c r="A3852" s="5" t="str">
        <f>HYPERLINK("https://www.oit.va.gov/Services/TRM/ToolPage.aspx?tid=15330^","Callisto")</f>
        <v>Callisto</v>
      </c>
      <c r="B3852" s="4" t="s">
        <v>148</v>
      </c>
      <c r="C3852" s="8" t="s">
        <v>5</v>
      </c>
      <c r="D3852" s="11" t="s">
        <v>5692</v>
      </c>
    </row>
    <row r="3853" spans="1:4" ht="30">
      <c r="A3853" s="5" t="str">
        <f>HYPERLINK("https://www.oit.va.gov/Services/TRM/ToolPage.aspx?tid=15249^","Eclipse EP25")</f>
        <v>Eclipse EP25</v>
      </c>
      <c r="B3853" s="4" t="s">
        <v>148</v>
      </c>
      <c r="C3853" s="8" t="s">
        <v>5</v>
      </c>
      <c r="D3853" s="11" t="s">
        <v>6559</v>
      </c>
    </row>
    <row r="3854" spans="1:4" ht="30">
      <c r="A3854" s="5" t="str">
        <f>HYPERLINK("https://www.oit.va.gov/Services/TRM/ToolPage.aspx?tid=16004^","OtoAccess Database")</f>
        <v>OtoAccess Database</v>
      </c>
      <c r="B3854" s="4" t="s">
        <v>148</v>
      </c>
      <c r="C3854" s="8" t="s">
        <v>5</v>
      </c>
      <c r="D3854" s="11" t="s">
        <v>6983</v>
      </c>
    </row>
    <row r="3855" spans="1:4" ht="30">
      <c r="A3855" s="5" t="str">
        <f>HYPERLINK("https://www.oit.va.gov/Services/TRM/ToolPage.aspx?tid=11022^","VisualEyes Spectrum")</f>
        <v>VisualEyes Spectrum</v>
      </c>
      <c r="B3855" s="4" t="s">
        <v>148</v>
      </c>
      <c r="C3855" s="8" t="s">
        <v>5</v>
      </c>
      <c r="D3855" s="11" t="s">
        <v>2328</v>
      </c>
    </row>
    <row r="3856" spans="1:4" ht="30">
      <c r="A3856" s="5" t="str">
        <f>HYPERLINK("https://www.oit.va.gov/Services/TRM/ToolPage.aspx?tid=14819^","Interactive Metronome (IM) Pro Universe")</f>
        <v>Interactive Metronome (IM) Pro Universe</v>
      </c>
      <c r="B3856" s="4" t="s">
        <v>1643</v>
      </c>
      <c r="C3856" s="8" t="s">
        <v>5</v>
      </c>
      <c r="D3856" s="11" t="s">
        <v>1644</v>
      </c>
    </row>
    <row r="3857" spans="1:4" ht="30">
      <c r="A3857" s="5" t="str">
        <f>HYPERLINK("https://www.oit.va.gov/Services/TRM/ToolPage.aspx?tid=9665^","ePROHealth Platform")</f>
        <v>ePROHealth Platform</v>
      </c>
      <c r="B3857" s="4" t="s">
        <v>2557</v>
      </c>
      <c r="C3857" s="8" t="s">
        <v>5</v>
      </c>
      <c r="D3857" s="11" t="s">
        <v>2558</v>
      </c>
    </row>
    <row r="3858" spans="1:4" ht="30">
      <c r="A3858" s="5" t="str">
        <f>HYPERLINK("https://www.oit.va.gov/Services/TRM/ToolPage.aspx?tid=13927^","Navigo Touch Screen")</f>
        <v>Navigo Touch Screen</v>
      </c>
      <c r="B3858" s="4" t="s">
        <v>3405</v>
      </c>
      <c r="C3858" s="8" t="s">
        <v>5</v>
      </c>
      <c r="D3858" s="11" t="s">
        <v>3406</v>
      </c>
    </row>
    <row r="3859" spans="1:4" ht="30">
      <c r="A3859" s="5" t="str">
        <f>HYPERLINK("https://www.oit.va.gov/Services/TRM/ToolPage.aspx?tid=8392^","XMU Message Manager")</f>
        <v>XMU Message Manager</v>
      </c>
      <c r="B3859" s="4" t="s">
        <v>7344</v>
      </c>
      <c r="C3859" s="8" t="s">
        <v>5</v>
      </c>
      <c r="D3859" s="11" t="s">
        <v>2877</v>
      </c>
    </row>
    <row r="3860" spans="1:4" ht="30">
      <c r="A3860" s="5" t="str">
        <f>HYPERLINK("https://www.oit.va.gov/Services/TRM/ToolPage.aspx?tid=8379^","XMUCOM+")</f>
        <v>XMUCOM+</v>
      </c>
      <c r="B3860" s="4" t="s">
        <v>7344</v>
      </c>
      <c r="C3860" s="8" t="s">
        <v>5</v>
      </c>
      <c r="D3860" s="11" t="s">
        <v>7345</v>
      </c>
    </row>
    <row r="3861" spans="1:4" ht="30">
      <c r="A3861" s="5" t="str">
        <f>HYPERLINK("https://www.oit.va.gov/Services/TRM/ToolPage.aspx?tid=16063^","MyID")</f>
        <v>MyID</v>
      </c>
      <c r="B3861" s="4" t="s">
        <v>4467</v>
      </c>
      <c r="C3861" s="8" t="s">
        <v>5</v>
      </c>
      <c r="D3861" s="11" t="s">
        <v>3621</v>
      </c>
    </row>
    <row r="3862" spans="1:4" ht="30">
      <c r="A3862" s="5" t="str">
        <f>HYPERLINK("https://www.oit.va.gov/Services/TRM/ToolPage.aspx?tid=6523^","Iguana")</f>
        <v>Iguana</v>
      </c>
      <c r="B3862" s="4" t="s">
        <v>1613</v>
      </c>
      <c r="C3862" s="8" t="s">
        <v>5</v>
      </c>
      <c r="D3862" s="11" t="s">
        <v>1614</v>
      </c>
    </row>
    <row r="3863" spans="1:4" ht="30">
      <c r="A3863" s="5" t="str">
        <f>HYPERLINK("https://www.oit.va.gov/Services/TRM/ToolPage.aspx?tid=9826^","FusionReactor")</f>
        <v>FusionReactor</v>
      </c>
      <c r="B3863" s="4" t="s">
        <v>5819</v>
      </c>
      <c r="C3863" s="8" t="s">
        <v>5</v>
      </c>
      <c r="D3863" s="11" t="s">
        <v>1600</v>
      </c>
    </row>
    <row r="3864" spans="1:4" ht="30">
      <c r="A3864" s="5" t="str">
        <f>HYPERLINK("https://www.oit.va.gov/Services/TRM/ToolPage.aspx?tid=10066^","DCProx Utility")</f>
        <v>DCProx Utility</v>
      </c>
      <c r="B3864" s="4" t="s">
        <v>2237</v>
      </c>
      <c r="C3864" s="8" t="s">
        <v>5</v>
      </c>
      <c r="D3864" s="11" t="s">
        <v>2238</v>
      </c>
    </row>
    <row r="3865" spans="1:4" ht="30">
      <c r="A3865" s="5" t="str">
        <f>HYPERLINK("https://www.oit.va.gov/Services/TRM/ToolPage.aspx?tid=5730^","Statistical Product and Service Solutions (SPSS) Statistics")</f>
        <v>Statistical Product and Service Solutions (SPSS) Statistics</v>
      </c>
      <c r="B3865" s="4" t="s">
        <v>329</v>
      </c>
      <c r="C3865" s="8" t="s">
        <v>5</v>
      </c>
      <c r="D3865" s="11" t="s">
        <v>330</v>
      </c>
    </row>
    <row r="3866" spans="1:4" ht="30">
      <c r="A3866" s="5" t="str">
        <f>HYPERLINK("https://www.oit.va.gov/Services/TRM/ToolPage.aspx?tid=6686^","Cognos Analytics")</f>
        <v>Cognos Analytics</v>
      </c>
      <c r="B3866" s="4" t="s">
        <v>329</v>
      </c>
      <c r="C3866" s="8" t="s">
        <v>5</v>
      </c>
      <c r="D3866" s="11" t="s">
        <v>628</v>
      </c>
    </row>
    <row r="3867" spans="1:4" ht="30">
      <c r="A3867" s="5" t="str">
        <f>HYPERLINK("https://www.oit.va.gov/Services/TRM/ToolPage.aspx?tid=5602^","Db2")</f>
        <v>Db2</v>
      </c>
      <c r="B3867" s="4" t="s">
        <v>329</v>
      </c>
      <c r="C3867" s="8" t="s">
        <v>5</v>
      </c>
      <c r="D3867" s="11" t="s">
        <v>176</v>
      </c>
    </row>
    <row r="3868" spans="1:4" ht="30">
      <c r="A3868" s="5" t="str">
        <f>HYPERLINK("https://www.oit.va.gov/Services/TRM/ToolPage.aspx?tid=11300^","IBM Explorer for z/OS")</f>
        <v>IBM Explorer for z/OS</v>
      </c>
      <c r="B3868" s="4" t="s">
        <v>329</v>
      </c>
      <c r="C3868" s="8" t="s">
        <v>5</v>
      </c>
      <c r="D3868" s="11" t="s">
        <v>707</v>
      </c>
    </row>
    <row r="3869" spans="1:4" ht="30">
      <c r="A3869" s="5" t="str">
        <f>HYPERLINK("https://www.oit.va.gov/Services/TRM/ToolPage.aspx?tid=16287^","IBM Maximo Application Suite")</f>
        <v>IBM Maximo Application Suite</v>
      </c>
      <c r="B3869" s="4" t="s">
        <v>329</v>
      </c>
      <c r="C3869" s="8" t="s">
        <v>5</v>
      </c>
      <c r="D3869" s="11" t="s">
        <v>190</v>
      </c>
    </row>
    <row r="3870" spans="1:4" ht="30">
      <c r="A3870" s="5" t="str">
        <f>HYPERLINK("https://www.oit.va.gov/Services/TRM/ToolPage.aspx?tid=15838^","International Business Machines (IBM) Content Collector")</f>
        <v>International Business Machines (IBM) Content Collector</v>
      </c>
      <c r="B3870" s="4" t="s">
        <v>329</v>
      </c>
      <c r="C3870" s="8" t="s">
        <v>5</v>
      </c>
      <c r="D3870" s="11" t="s">
        <v>717</v>
      </c>
    </row>
    <row r="3871" spans="1:4" ht="30">
      <c r="A3871" s="5" t="str">
        <f>HYPERLINK("https://www.oit.va.gov/Services/TRM/ToolPage.aspx?tid=9849^","International Business Machines (IBM) Spectrum Load Sharing Facility (LSF)")</f>
        <v>International Business Machines (IBM) Spectrum Load Sharing Facility (LSF)</v>
      </c>
      <c r="B3871" s="4" t="s">
        <v>329</v>
      </c>
      <c r="C3871" s="8" t="s">
        <v>5</v>
      </c>
      <c r="D3871" s="11" t="s">
        <v>718</v>
      </c>
    </row>
    <row r="3872" spans="1:4" ht="30">
      <c r="A3872" s="5" t="str">
        <f>HYPERLINK("https://www.oit.va.gov/Services/TRM/ToolPage.aspx?tid=14597^","International Business Machines (IBM) Transformation Extender Advanced (ITXA)")</f>
        <v>International Business Machines (IBM) Transformation Extender Advanced (ITXA)</v>
      </c>
      <c r="B3872" s="4" t="s">
        <v>329</v>
      </c>
      <c r="C3872" s="8" t="s">
        <v>5</v>
      </c>
      <c r="D3872" s="11" t="s">
        <v>719</v>
      </c>
    </row>
    <row r="3873" spans="1:4" ht="30">
      <c r="A3873" s="5" t="str">
        <f>HYPERLINK("https://www.oit.va.gov/Services/TRM/ToolPage.aspx?tid=5464^","z/OS")</f>
        <v>z/OS</v>
      </c>
      <c r="B3873" s="4" t="s">
        <v>329</v>
      </c>
      <c r="C3873" s="8" t="s">
        <v>5</v>
      </c>
      <c r="D3873" s="11" t="s">
        <v>909</v>
      </c>
    </row>
    <row r="3874" spans="1:4" ht="30">
      <c r="A3874" s="5" t="str">
        <f>HYPERLINK("https://www.oit.va.gov/Services/TRM/ToolPage.aspx?tid=7789^","Aspera High-Speed Transfer Server")</f>
        <v>Aspera High-Speed Transfer Server</v>
      </c>
      <c r="B3874" s="4" t="s">
        <v>329</v>
      </c>
      <c r="C3874" s="8" t="s">
        <v>5</v>
      </c>
      <c r="D3874" s="11" t="s">
        <v>1318</v>
      </c>
    </row>
    <row r="3875" spans="1:4" ht="30">
      <c r="A3875" s="5" t="str">
        <f>HYPERLINK("https://www.oit.va.gov/Services/TRM/ToolPage.aspx?tid=9118^","Datacap")</f>
        <v>Datacap</v>
      </c>
      <c r="B3875" s="4" t="s">
        <v>329</v>
      </c>
      <c r="C3875" s="8" t="s">
        <v>5</v>
      </c>
      <c r="D3875" s="11" t="s">
        <v>1417</v>
      </c>
    </row>
    <row r="3876" spans="1:4" ht="30">
      <c r="A3876" s="5" t="str">
        <f>HYPERLINK("https://www.oit.va.gov/Services/TRM/ToolPage.aspx?tid=6377^","DataPower Gateway")</f>
        <v>DataPower Gateway</v>
      </c>
      <c r="B3876" s="4" t="s">
        <v>329</v>
      </c>
      <c r="C3876" s="8" t="s">
        <v>5</v>
      </c>
      <c r="D3876" s="11" t="s">
        <v>1486</v>
      </c>
    </row>
    <row r="3877" spans="1:4" ht="30">
      <c r="A3877" s="5" t="str">
        <f>HYPERLINK("https://www.oit.va.gov/Services/TRM/ToolPage.aspx?tid=15388^","i2 Analyst&amp;#39;s Notebook Premium")</f>
        <v>i2 Analyst&amp;#39;s Notebook Premium</v>
      </c>
      <c r="B3877" s="4" t="s">
        <v>329</v>
      </c>
      <c r="C3877" s="8" t="s">
        <v>5</v>
      </c>
      <c r="D3877" s="11" t="s">
        <v>1608</v>
      </c>
    </row>
    <row r="3878" spans="1:4" ht="30">
      <c r="A3878" s="5" t="str">
        <f>HYPERLINK("https://www.oit.va.gov/Services/TRM/ToolPage.aspx?tid=7455^","IBM Integration Designer (IID)")</f>
        <v>IBM Integration Designer (IID)</v>
      </c>
      <c r="B3878" s="4" t="s">
        <v>329</v>
      </c>
      <c r="C3878" s="8" t="s">
        <v>5</v>
      </c>
      <c r="D3878" s="11" t="s">
        <v>1609</v>
      </c>
    </row>
    <row r="3879" spans="1:4" ht="30">
      <c r="A3879" s="5" t="str">
        <f>HYPERLINK("https://www.oit.va.gov/Services/TRM/ToolPage.aspx?tid=6469^","IBM Maximo Asset Management")</f>
        <v>IBM Maximo Asset Management</v>
      </c>
      <c r="B3879" s="4" t="s">
        <v>329</v>
      </c>
      <c r="C3879" s="8" t="s">
        <v>5</v>
      </c>
      <c r="D3879" s="11" t="s">
        <v>1610</v>
      </c>
    </row>
    <row r="3880" spans="1:4" ht="30">
      <c r="A3880" s="5" t="str">
        <f>HYPERLINK("https://www.oit.va.gov/Services/TRM/ToolPage.aspx?tid=5815^","InfoSphere Master Data Management (MDM)")</f>
        <v>InfoSphere Master Data Management (MDM)</v>
      </c>
      <c r="B3880" s="4" t="s">
        <v>329</v>
      </c>
      <c r="C3880" s="8" t="s">
        <v>5</v>
      </c>
      <c r="D3880" s="11" t="s">
        <v>1631</v>
      </c>
    </row>
    <row r="3881" spans="1:4" ht="30">
      <c r="A3881" s="5" t="str">
        <f>HYPERLINK("https://www.oit.va.gov/Services/TRM/ToolPage.aspx?tid=6372^","International Business Machine (IBM) App Connect Enterprise (ACE)")</f>
        <v>International Business Machine (IBM) App Connect Enterprise (ACE)</v>
      </c>
      <c r="B3881" s="4" t="s">
        <v>329</v>
      </c>
      <c r="C3881" s="8" t="s">
        <v>5</v>
      </c>
      <c r="D3881" s="11" t="s">
        <v>1646</v>
      </c>
    </row>
    <row r="3882" spans="1:4" ht="30">
      <c r="A3882" s="5" t="str">
        <f>HYPERLINK("https://www.oit.va.gov/Services/TRM/ToolPage.aspx?tid=6548^","International Business Machine (IBM) Sterling Connect:Direct")</f>
        <v>International Business Machine (IBM) Sterling Connect:Direct</v>
      </c>
      <c r="B3882" s="4" t="s">
        <v>329</v>
      </c>
      <c r="C3882" s="8" t="s">
        <v>5</v>
      </c>
      <c r="D3882" s="11" t="s">
        <v>1647</v>
      </c>
    </row>
    <row r="3883" spans="1:4" ht="30">
      <c r="A3883" s="5" t="str">
        <f>HYPERLINK("https://www.oit.va.gov/Services/TRM/ToolPage.aspx?tid=11075^","International Business Machines (IBM) Daeja ViewONE Virtual")</f>
        <v>International Business Machines (IBM) Daeja ViewONE Virtual</v>
      </c>
      <c r="B3883" s="4" t="s">
        <v>329</v>
      </c>
      <c r="C3883" s="8" t="s">
        <v>5</v>
      </c>
      <c r="D3883" s="11" t="s">
        <v>1648</v>
      </c>
    </row>
    <row r="3884" spans="1:4" ht="30">
      <c r="A3884" s="5" t="str">
        <f>HYPERLINK("https://www.oit.va.gov/Services/TRM/ToolPage.aspx?tid=5998^","International Business Machines (IBM) FileNet Capture")</f>
        <v>International Business Machines (IBM) FileNet Capture</v>
      </c>
      <c r="B3884" s="4" t="s">
        <v>329</v>
      </c>
      <c r="C3884" s="8" t="s">
        <v>5</v>
      </c>
      <c r="D3884" s="11" t="s">
        <v>90</v>
      </c>
    </row>
    <row r="3885" spans="1:4" ht="30">
      <c r="A3885" s="5" t="str">
        <f>HYPERLINK("https://www.oit.va.gov/Services/TRM/ToolPage.aspx?tid=6850^","International Business Machines (IBM) FileNet Case Analyzer")</f>
        <v>International Business Machines (IBM) FileNet Case Analyzer</v>
      </c>
      <c r="B3885" s="4" t="s">
        <v>329</v>
      </c>
      <c r="C3885" s="8" t="s">
        <v>5</v>
      </c>
      <c r="D3885" s="11" t="s">
        <v>832</v>
      </c>
    </row>
    <row r="3886" spans="1:4" ht="30">
      <c r="A3886" s="5" t="str">
        <f>HYPERLINK("https://www.oit.va.gov/Services/TRM/ToolPage.aspx?tid=6855^","International Business Machines (IBM) FileNet P8 Platform")</f>
        <v>International Business Machines (IBM) FileNet P8 Platform</v>
      </c>
      <c r="B3886" s="4" t="s">
        <v>329</v>
      </c>
      <c r="C3886" s="8" t="s">
        <v>5</v>
      </c>
      <c r="D3886" s="11" t="s">
        <v>1650</v>
      </c>
    </row>
    <row r="3887" spans="1:4" ht="30">
      <c r="A3887" s="5" t="str">
        <f>HYPERLINK("https://www.oit.va.gov/Services/TRM/ToolPage.aspx?tid=5074^","International Business Machines (IBM) InfoSphere Data Architect")</f>
        <v>International Business Machines (IBM) InfoSphere Data Architect</v>
      </c>
      <c r="B3887" s="4" t="s">
        <v>329</v>
      </c>
      <c r="C3887" s="8" t="s">
        <v>5</v>
      </c>
      <c r="D3887" s="11" t="s">
        <v>1651</v>
      </c>
    </row>
    <row r="3888" spans="1:4" ht="30">
      <c r="A3888" s="5" t="str">
        <f>HYPERLINK("https://www.oit.va.gov/Services/TRM/ToolPage.aspx?tid=13085^","International Business Machines (IBM) InfoSphere Information Server")</f>
        <v>International Business Machines (IBM) InfoSphere Information Server</v>
      </c>
      <c r="B3888" s="4" t="s">
        <v>329</v>
      </c>
      <c r="C3888" s="8" t="s">
        <v>5</v>
      </c>
      <c r="D3888" s="11" t="s">
        <v>1652</v>
      </c>
    </row>
    <row r="3889" spans="1:4" ht="30">
      <c r="A3889" s="5" t="str">
        <f>HYPERLINK("https://www.oit.va.gov/Services/TRM/ToolPage.aspx?tid=6202^","International Business Machines (IBM) Security Directory Server")</f>
        <v>International Business Machines (IBM) Security Directory Server</v>
      </c>
      <c r="B3889" s="4" t="s">
        <v>329</v>
      </c>
      <c r="C3889" s="8" t="s">
        <v>5</v>
      </c>
      <c r="D3889" s="11" t="s">
        <v>1653</v>
      </c>
    </row>
    <row r="3890" spans="1:4" ht="30">
      <c r="A3890" s="5" t="str">
        <f>HYPERLINK("https://www.oit.va.gov/Services/TRM/ToolPage.aspx?tid=5852^","International Business Machines (IBM) Security Verify Access Management")</f>
        <v>International Business Machines (IBM) Security Verify Access Management</v>
      </c>
      <c r="B3890" s="4" t="s">
        <v>329</v>
      </c>
      <c r="C3890" s="8" t="s">
        <v>5</v>
      </c>
      <c r="D3890" s="11" t="s">
        <v>233</v>
      </c>
    </row>
    <row r="3891" spans="1:4" ht="30">
      <c r="A3891" s="5" t="str">
        <f>HYPERLINK("https://www.oit.va.gov/Services/TRM/ToolPage.aspx?tid=6468^","International Business Machines (IBM) Sterling Gentran for z/OS")</f>
        <v>International Business Machines (IBM) Sterling Gentran for z/OS</v>
      </c>
      <c r="B3891" s="4" t="s">
        <v>329</v>
      </c>
      <c r="C3891" s="8" t="s">
        <v>5</v>
      </c>
      <c r="D3891" s="11" t="s">
        <v>1654</v>
      </c>
    </row>
    <row r="3892" spans="1:4" ht="30">
      <c r="A3892" s="5" t="str">
        <f>HYPERLINK("https://www.oit.va.gov/Services/TRM/ToolPage.aspx?tid=14019^","International Business Machines (IBM) UrbanCode Deploy")</f>
        <v>International Business Machines (IBM) UrbanCode Deploy</v>
      </c>
      <c r="B3892" s="4" t="s">
        <v>329</v>
      </c>
      <c r="C3892" s="8" t="s">
        <v>5</v>
      </c>
      <c r="D3892" s="11" t="s">
        <v>1656</v>
      </c>
    </row>
    <row r="3893" spans="1:4" ht="30">
      <c r="A3893" s="5" t="str">
        <f>HYPERLINK("https://www.oit.va.gov/Services/TRM/ToolPage.aspx?tid=9867^","MobileFirst Platform Server")</f>
        <v>MobileFirst Platform Server</v>
      </c>
      <c r="B3893" s="4" t="s">
        <v>329</v>
      </c>
      <c r="C3893" s="8" t="s">
        <v>5</v>
      </c>
      <c r="D3893" s="11" t="s">
        <v>1751</v>
      </c>
    </row>
    <row r="3894" spans="1:4" ht="30">
      <c r="A3894" s="5" t="str">
        <f>HYPERLINK("https://www.oit.va.gov/Services/TRM/ToolPage.aspx?tid=6510^","Tivoli Monitoring")</f>
        <v>Tivoli Monitoring</v>
      </c>
      <c r="B3894" s="4" t="s">
        <v>329</v>
      </c>
      <c r="C3894" s="8" t="s">
        <v>5</v>
      </c>
      <c r="D3894" s="11" t="s">
        <v>876</v>
      </c>
    </row>
    <row r="3895" spans="1:4" ht="30">
      <c r="A3895" s="5" t="str">
        <f>HYPERLINK("https://www.oit.va.gov/Services/TRM/ToolPage.aspx?tid=15946^","Trusteer Rapport")</f>
        <v>Trusteer Rapport</v>
      </c>
      <c r="B3895" s="4" t="s">
        <v>329</v>
      </c>
      <c r="C3895" s="8" t="s">
        <v>5</v>
      </c>
      <c r="D3895" s="11" t="s">
        <v>2008</v>
      </c>
    </row>
    <row r="3896" spans="1:4" ht="30">
      <c r="A3896" s="5" t="str">
        <f>HYPERLINK("https://www.oit.va.gov/Services/TRM/ToolPage.aspx?tid=6520^","WebSphere Service Registry and Repository (WSRR)")</f>
        <v>WebSphere Service Registry and Repository (WSRR)</v>
      </c>
      <c r="B3896" s="4" t="s">
        <v>329</v>
      </c>
      <c r="C3896" s="8" t="s">
        <v>5</v>
      </c>
      <c r="D3896" s="11" t="s">
        <v>2055</v>
      </c>
    </row>
    <row r="3897" spans="1:4" ht="30">
      <c r="A3897" s="5" t="str">
        <f>HYPERLINK("https://www.oit.va.gov/Services/TRM/ToolPage.aspx?tid=15801^","IBM Watson Explorer (WEX) Enterprise Edition")</f>
        <v>IBM Watson Explorer (WEX) Enterprise Edition</v>
      </c>
      <c r="B3897" s="4" t="s">
        <v>329</v>
      </c>
      <c r="C3897" s="8" t="s">
        <v>5</v>
      </c>
      <c r="D3897" s="11" t="s">
        <v>43</v>
      </c>
    </row>
    <row r="3898" spans="1:4" ht="30">
      <c r="A3898" s="5" t="str">
        <f>HYPERLINK("https://www.oit.va.gov/Services/TRM/ToolPage.aspx?tid=4^","AIX (Advanced Interactive eXecutive)")</f>
        <v>AIX (Advanced Interactive eXecutive)</v>
      </c>
      <c r="B3898" s="4" t="s">
        <v>329</v>
      </c>
      <c r="C3898" s="8" t="s">
        <v>5</v>
      </c>
      <c r="D3898" s="11" t="s">
        <v>21</v>
      </c>
    </row>
    <row r="3899" spans="1:4" ht="30">
      <c r="A3899" s="5" t="str">
        <f>HYPERLINK("https://www.oit.va.gov/Services/TRM/ToolPage.aspx?tid=8703^","Customer Information Control System (CICS) Transaction Server")</f>
        <v>Customer Information Control System (CICS) Transaction Server</v>
      </c>
      <c r="B3899" s="4" t="s">
        <v>329</v>
      </c>
      <c r="C3899" s="8" t="s">
        <v>5</v>
      </c>
      <c r="D3899" s="11" t="s">
        <v>2459</v>
      </c>
    </row>
    <row r="3900" spans="1:4" ht="30">
      <c r="A3900" s="5" t="str">
        <f>HYPERLINK("https://www.oit.va.gov/Services/TRM/ToolPage.aspx?tid=16869^","IBM Z Software Asset Management")</f>
        <v>IBM Z Software Asset Management</v>
      </c>
      <c r="B3900" s="4" t="s">
        <v>329</v>
      </c>
      <c r="C3900" s="8" t="s">
        <v>5</v>
      </c>
      <c r="D3900" s="11" t="s">
        <v>1082</v>
      </c>
    </row>
    <row r="3901" spans="1:4" ht="30">
      <c r="A3901" s="5" t="str">
        <f>HYPERLINK("https://www.oit.va.gov/Services/TRM/ToolPage.aspx?tid=7256^","Spectrum Protect for Storage Area Networks (SAN)")</f>
        <v>Spectrum Protect for Storage Area Networks (SAN)</v>
      </c>
      <c r="B3901" s="4" t="s">
        <v>329</v>
      </c>
      <c r="C3901" s="8" t="s">
        <v>5</v>
      </c>
      <c r="D3901" s="11" t="s">
        <v>2982</v>
      </c>
    </row>
    <row r="3902" spans="1:4" ht="30">
      <c r="A3902" s="5" t="str">
        <f>HYPERLINK("https://www.oit.va.gov/Services/TRM/ToolPage.aspx?tid=11199^","IBM Common Licensing")</f>
        <v>IBM Common Licensing</v>
      </c>
      <c r="B3902" s="4" t="s">
        <v>329</v>
      </c>
      <c r="C3902" s="8" t="s">
        <v>5</v>
      </c>
      <c r="D3902" s="11" t="s">
        <v>2157</v>
      </c>
    </row>
    <row r="3903" spans="1:4" ht="30">
      <c r="A3903" s="5" t="str">
        <f>HYPERLINK("https://www.oit.va.gov/Services/TRM/ToolPage.aspx?tid=6951^","IBM WAVE for z/VM")</f>
        <v>IBM WAVE for z/VM</v>
      </c>
      <c r="B3903" s="4" t="s">
        <v>329</v>
      </c>
      <c r="C3903" s="8" t="s">
        <v>5</v>
      </c>
      <c r="D3903" s="11" t="s">
        <v>3330</v>
      </c>
    </row>
    <row r="3904" spans="1:4" ht="30">
      <c r="A3904" s="5" t="str">
        <f>HYPERLINK("https://www.oit.va.gov/Services/TRM/ToolPage.aspx?tid=8085^","ILOG CPLEX Optimization Studio")</f>
        <v>ILOG CPLEX Optimization Studio</v>
      </c>
      <c r="B3904" s="4" t="s">
        <v>329</v>
      </c>
      <c r="C3904" s="8" t="s">
        <v>5</v>
      </c>
      <c r="D3904" s="11" t="s">
        <v>19</v>
      </c>
    </row>
    <row r="3905" spans="1:4" ht="30">
      <c r="A3905" s="5" t="str">
        <f>HYPERLINK("https://www.oit.va.gov/Services/TRM/ToolPage.aspx?tid=6849^","International Business Machines (IBM) Case Foundation")</f>
        <v>International Business Machines (IBM) Case Foundation</v>
      </c>
      <c r="B3905" s="4" t="s">
        <v>329</v>
      </c>
      <c r="C3905" s="8" t="s">
        <v>5</v>
      </c>
      <c r="D3905" s="11" t="s">
        <v>3340</v>
      </c>
    </row>
    <row r="3906" spans="1:4" ht="30">
      <c r="A3906" s="5" t="str">
        <f>HYPERLINK("https://www.oit.va.gov/Services/TRM/ToolPage.aspx?tid=8586^","International Business Machines (IBM) File Manager")</f>
        <v>International Business Machines (IBM) File Manager</v>
      </c>
      <c r="B3906" s="4" t="s">
        <v>329</v>
      </c>
      <c r="C3906" s="8" t="s">
        <v>5</v>
      </c>
      <c r="D3906" s="11" t="s">
        <v>3341</v>
      </c>
    </row>
    <row r="3907" spans="1:4" ht="30">
      <c r="A3907" s="5" t="str">
        <f>HYPERLINK("https://www.oit.va.gov/Services/TRM/ToolPage.aspx?tid=5162^","International Business Machines (IBM) Semeru Runtime")</f>
        <v>International Business Machines (IBM) Semeru Runtime</v>
      </c>
      <c r="B3907" s="4" t="s">
        <v>329</v>
      </c>
      <c r="C3907" s="8" t="s">
        <v>5</v>
      </c>
      <c r="D3907" s="11" t="s">
        <v>1286</v>
      </c>
    </row>
    <row r="3908" spans="1:4" ht="30">
      <c r="A3908" s="5" t="str">
        <f>HYPERLINK("https://www.oit.va.gov/Services/TRM/ToolPage.aspx?tid=7254^","Spectrum Protect for Databases")</f>
        <v>Spectrum Protect for Databases</v>
      </c>
      <c r="B3908" s="4" t="s">
        <v>329</v>
      </c>
      <c r="C3908" s="8" t="s">
        <v>5</v>
      </c>
      <c r="D3908" s="11" t="s">
        <v>3546</v>
      </c>
    </row>
    <row r="3909" spans="1:4" ht="30">
      <c r="A3909" s="5" t="str">
        <f>HYPERLINK("https://www.oit.va.gov/Services/TRM/ToolPage.aspx?tid=7279^","Spectrum Protect for Mail")</f>
        <v>Spectrum Protect for Mail</v>
      </c>
      <c r="B3909" s="4" t="s">
        <v>329</v>
      </c>
      <c r="C3909" s="8" t="s">
        <v>5</v>
      </c>
      <c r="D3909" s="11" t="s">
        <v>3547</v>
      </c>
    </row>
    <row r="3910" spans="1:4" ht="30">
      <c r="A3910" s="5" t="str">
        <f>HYPERLINK("https://www.oit.va.gov/Services/TRM/ToolPage.aspx?tid=7257^","Spectrum Protect for Virtual Environments")</f>
        <v>Spectrum Protect for Virtual Environments</v>
      </c>
      <c r="B3910" s="4" t="s">
        <v>329</v>
      </c>
      <c r="C3910" s="8" t="s">
        <v>5</v>
      </c>
      <c r="D3910" s="11" t="s">
        <v>3548</v>
      </c>
    </row>
    <row r="3911" spans="1:4" ht="30">
      <c r="A3911" s="5" t="str">
        <f>HYPERLINK("https://www.oit.va.gov/Services/TRM/ToolPage.aspx?tid=7278^","Spectrum Protect for Workstations")</f>
        <v>Spectrum Protect for Workstations</v>
      </c>
      <c r="B3911" s="4" t="s">
        <v>329</v>
      </c>
      <c r="C3911" s="8" t="s">
        <v>5</v>
      </c>
      <c r="D3911" s="11" t="s">
        <v>3549</v>
      </c>
    </row>
    <row r="3912" spans="1:4" ht="30">
      <c r="A3912" s="5" t="str">
        <f>HYPERLINK("https://www.oit.va.gov/Services/TRM/ToolPage.aspx?tid=5465^","z/VM")</f>
        <v>z/VM</v>
      </c>
      <c r="B3912" s="4" t="s">
        <v>329</v>
      </c>
      <c r="C3912" s="8" t="s">
        <v>5</v>
      </c>
      <c r="D3912" s="11" t="s">
        <v>431</v>
      </c>
    </row>
    <row r="3913" spans="1:4" ht="30">
      <c r="A3913" s="5" t="str">
        <f>HYPERLINK("https://www.oit.va.gov/Services/TRM/ToolPage.aspx?tid=10782^","Aspera Connect Browser Plugin")</f>
        <v>Aspera Connect Browser Plugin</v>
      </c>
      <c r="B3913" s="4" t="s">
        <v>329</v>
      </c>
      <c r="C3913" s="8" t="s">
        <v>5</v>
      </c>
      <c r="D3913" s="11" t="s">
        <v>703</v>
      </c>
    </row>
    <row r="3914" spans="1:4" ht="30">
      <c r="A3914" s="5" t="str">
        <f>HYPERLINK("https://www.oit.va.gov/Services/TRM/ToolPage.aspx?tid=5804^","Decision Server")</f>
        <v>Decision Server</v>
      </c>
      <c r="B3914" s="4" t="s">
        <v>329</v>
      </c>
      <c r="C3914" s="8" t="s">
        <v>5</v>
      </c>
      <c r="D3914" s="11" t="s">
        <v>2604</v>
      </c>
    </row>
    <row r="3915" spans="1:4" ht="30">
      <c r="A3915" s="5" t="str">
        <f>HYPERLINK("https://www.oit.va.gov/Services/TRM/ToolPage.aspx?tid=8607^","Directory Maintenance for z/VM")</f>
        <v>Directory Maintenance for z/VM</v>
      </c>
      <c r="B3915" s="4" t="s">
        <v>329</v>
      </c>
      <c r="C3915" s="8" t="s">
        <v>5</v>
      </c>
      <c r="D3915" s="11" t="s">
        <v>4019</v>
      </c>
    </row>
    <row r="3916" spans="1:4" ht="30">
      <c r="A3916" s="5" t="str">
        <f>HYPERLINK("https://www.oit.va.gov/Services/TRM/ToolPage.aspx?tid=9090^","Enterprise Common Business-Oriented Language (COBOL)")</f>
        <v>Enterprise Common Business-Oriented Language (COBOL)</v>
      </c>
      <c r="B3916" s="4" t="s">
        <v>329</v>
      </c>
      <c r="C3916" s="8" t="s">
        <v>5</v>
      </c>
      <c r="D3916" s="11" t="s">
        <v>3981</v>
      </c>
    </row>
    <row r="3917" spans="1:4" ht="30">
      <c r="A3917" s="5" t="str">
        <f>HYPERLINK("https://www.oit.va.gov/Services/TRM/ToolPage.aspx?tid=6854^","Enterprise Records")</f>
        <v>Enterprise Records</v>
      </c>
      <c r="B3917" s="4" t="s">
        <v>329</v>
      </c>
      <c r="C3917" s="8" t="s">
        <v>5</v>
      </c>
      <c r="D3917" s="11" t="s">
        <v>4098</v>
      </c>
    </row>
    <row r="3918" spans="1:4" ht="30">
      <c r="A3918" s="5" t="str">
        <f>HYPERLINK("https://www.oit.va.gov/Services/TRM/ToolPage.aspx?tid=6853^","FileNet eForms")</f>
        <v>FileNet eForms</v>
      </c>
      <c r="B3918" s="4" t="s">
        <v>329</v>
      </c>
      <c r="C3918" s="8" t="s">
        <v>5</v>
      </c>
      <c r="D3918" s="11" t="s">
        <v>1088</v>
      </c>
    </row>
    <row r="3919" spans="1:4" ht="30">
      <c r="A3919" s="5" t="str">
        <f>HYPERLINK("https://www.oit.va.gov/Services/TRM/ToolPage.aspx?tid=14921^","IBM Cloud Pak for Applications")</f>
        <v>IBM Cloud Pak for Applications</v>
      </c>
      <c r="B3919" s="4" t="s">
        <v>329</v>
      </c>
      <c r="C3919" s="8" t="s">
        <v>5</v>
      </c>
      <c r="D3919" s="11" t="s">
        <v>4241</v>
      </c>
    </row>
    <row r="3920" spans="1:4" ht="30">
      <c r="A3920" s="5" t="str">
        <f>HYPERLINK("https://www.oit.va.gov/Services/TRM/ToolPage.aspx?tid=14914^","IBM Cloud Pak for Multicloud Management")</f>
        <v>IBM Cloud Pak for Multicloud Management</v>
      </c>
      <c r="B3920" s="4" t="s">
        <v>329</v>
      </c>
      <c r="C3920" s="8" t="s">
        <v>5</v>
      </c>
      <c r="D3920" s="11" t="s">
        <v>4122</v>
      </c>
    </row>
    <row r="3921" spans="1:4" ht="30">
      <c r="A3921" s="5" t="str">
        <f>HYPERLINK("https://www.oit.va.gov/Services/TRM/ToolPage.aspx?tid=5485^","IBM Spectrum Scale")</f>
        <v>IBM Spectrum Scale</v>
      </c>
      <c r="B3921" s="4" t="s">
        <v>329</v>
      </c>
      <c r="C3921" s="8" t="s">
        <v>5</v>
      </c>
      <c r="D3921" s="11" t="s">
        <v>1003</v>
      </c>
    </row>
    <row r="3922" spans="1:4" ht="30">
      <c r="A3922" s="5" t="str">
        <f>HYPERLINK("https://www.oit.va.gov/Services/TRM/ToolPage.aspx?tid=10827^","InfoSphere Optim Test Data Management")</f>
        <v>InfoSphere Optim Test Data Management</v>
      </c>
      <c r="B3922" s="4" t="s">
        <v>329</v>
      </c>
      <c r="C3922" s="8" t="s">
        <v>5</v>
      </c>
      <c r="D3922" s="11" t="s">
        <v>1629</v>
      </c>
    </row>
    <row r="3923" spans="1:4" ht="30">
      <c r="A3923" s="5" t="str">
        <f>HYPERLINK("https://www.oit.va.gov/Services/TRM/ToolPage.aspx?tid=15315^","International Business Machine (IBM) Security zSecure Manager")</f>
        <v>International Business Machine (IBM) Security zSecure Manager</v>
      </c>
      <c r="B3923" s="4" t="s">
        <v>329</v>
      </c>
      <c r="C3923" s="8" t="s">
        <v>5</v>
      </c>
      <c r="D3923" s="11" t="s">
        <v>1126</v>
      </c>
    </row>
    <row r="3924" spans="1:4" ht="30">
      <c r="A3924" s="5" t="str">
        <f>HYPERLINK("https://www.oit.va.gov/Services/TRM/ToolPage.aspx?tid=7790^","International Business Machines (IBM) Aspera High-Speed Transfer Endpoint")</f>
        <v>International Business Machines (IBM) Aspera High-Speed Transfer Endpoint</v>
      </c>
      <c r="B3924" s="4" t="s">
        <v>329</v>
      </c>
      <c r="C3924" s="8" t="s">
        <v>5</v>
      </c>
      <c r="D3924" s="11" t="s">
        <v>2613</v>
      </c>
    </row>
    <row r="3925" spans="1:4" ht="30">
      <c r="A3925" s="5" t="str">
        <f>HYPERLINK("https://www.oit.va.gov/Services/TRM/ToolPage.aspx?tid=5803^","International Business Machines (IBM) Decision Optimization Center")</f>
        <v>International Business Machines (IBM) Decision Optimization Center</v>
      </c>
      <c r="B3925" s="4" t="s">
        <v>329</v>
      </c>
      <c r="C3925" s="8" t="s">
        <v>5</v>
      </c>
      <c r="D3925" s="11" t="s">
        <v>4275</v>
      </c>
    </row>
    <row r="3926" spans="1:4" ht="30">
      <c r="A3926" s="5" t="str">
        <f>HYPERLINK("https://www.oit.va.gov/Services/TRM/ToolPage.aspx?tid=6852^","International Business Machines (IBM) FileNet Content Manager")</f>
        <v>International Business Machines (IBM) FileNet Content Manager</v>
      </c>
      <c r="B3926" s="4" t="s">
        <v>329</v>
      </c>
      <c r="C3926" s="8" t="s">
        <v>5</v>
      </c>
      <c r="D3926" s="11" t="s">
        <v>3347</v>
      </c>
    </row>
    <row r="3927" spans="1:4" ht="30">
      <c r="A3927" s="5" t="str">
        <f>HYPERLINK("https://www.oit.va.gov/Services/TRM/ToolPage.aspx?tid=6261^","International Business Machines (IBM) Hypertext Transfer Protocol (HTTP) Server")</f>
        <v>International Business Machines (IBM) Hypertext Transfer Protocol (HTTP) Server</v>
      </c>
      <c r="B3927" s="4" t="s">
        <v>329</v>
      </c>
      <c r="C3927" s="8" t="s">
        <v>5</v>
      </c>
      <c r="D3927" s="11" t="s">
        <v>703</v>
      </c>
    </row>
    <row r="3928" spans="1:4" ht="30">
      <c r="A3928" s="5" t="str">
        <f>HYPERLINK("https://www.oit.va.gov/Services/TRM/ToolPage.aspx?tid=11095^","International Business Machines (IBM) Installation Manager")</f>
        <v>International Business Machines (IBM) Installation Manager</v>
      </c>
      <c r="B3928" s="4" t="s">
        <v>329</v>
      </c>
      <c r="C3928" s="8" t="s">
        <v>5</v>
      </c>
      <c r="D3928" s="11" t="s">
        <v>4276</v>
      </c>
    </row>
    <row r="3929" spans="1:4" ht="30">
      <c r="A3929" s="5" t="str">
        <f>HYPERLINK("https://www.oit.va.gov/Services/TRM/ToolPage.aspx?tid=6519^","International Business Machines (IBM) Message Queue (MQ)")</f>
        <v>International Business Machines (IBM) Message Queue (MQ)</v>
      </c>
      <c r="B3929" s="4" t="s">
        <v>329</v>
      </c>
      <c r="C3929" s="8" t="s">
        <v>5</v>
      </c>
      <c r="D3929" s="11" t="s">
        <v>4277</v>
      </c>
    </row>
    <row r="3930" spans="1:4" ht="30">
      <c r="A3930" s="5" t="str">
        <f>HYPERLINK("https://www.oit.va.gov/Services/TRM/ToolPage.aspx?tid=15066^","International Business Machines (IBM) Partner Engagement Manager (PEM)")</f>
        <v>International Business Machines (IBM) Partner Engagement Manager (PEM)</v>
      </c>
      <c r="B3930" s="4" t="s">
        <v>329</v>
      </c>
      <c r="C3930" s="8" t="s">
        <v>5</v>
      </c>
      <c r="D3930" s="11" t="s">
        <v>2141</v>
      </c>
    </row>
    <row r="3931" spans="1:4" ht="30">
      <c r="A3931" s="5" t="str">
        <f>HYPERLINK("https://www.oit.va.gov/Services/TRM/ToolPage.aspx?tid=14946^","International Business Machines (IBM) Security Guardium Key Lifecycle Manager")</f>
        <v>International Business Machines (IBM) Security Guardium Key Lifecycle Manager</v>
      </c>
      <c r="B3931" s="4" t="s">
        <v>329</v>
      </c>
      <c r="C3931" s="8" t="s">
        <v>5</v>
      </c>
      <c r="D3931" s="11" t="s">
        <v>4278</v>
      </c>
    </row>
    <row r="3932" spans="1:4" ht="30">
      <c r="A3932" s="5" t="str">
        <f>HYPERLINK("https://www.oit.va.gov/Services/TRM/ToolPage.aspx?tid=14596^","International Business Machines (IBM) Sterling Business-to-Business (B2B) Integrator")</f>
        <v>International Business Machines (IBM) Sterling Business-to-Business (B2B) Integrator</v>
      </c>
      <c r="B3932" s="4" t="s">
        <v>329</v>
      </c>
      <c r="C3932" s="8" t="s">
        <v>5</v>
      </c>
      <c r="D3932" s="11" t="s">
        <v>864</v>
      </c>
    </row>
    <row r="3933" spans="1:4" ht="30">
      <c r="A3933" s="5" t="str">
        <f>HYPERLINK("https://www.oit.va.gov/Services/TRM/ToolPage.aspx?tid=14601^","International Business Machines (IBM) Sterling Control Center")</f>
        <v>International Business Machines (IBM) Sterling Control Center</v>
      </c>
      <c r="B3933" s="4" t="s">
        <v>329</v>
      </c>
      <c r="C3933" s="8" t="s">
        <v>5</v>
      </c>
      <c r="D3933" s="11" t="s">
        <v>1767</v>
      </c>
    </row>
    <row r="3934" spans="1:4" ht="30">
      <c r="A3934" s="5" t="str">
        <f>HYPERLINK("https://www.oit.va.gov/Services/TRM/ToolPage.aspx?tid=6521^","International Business Machines (IBM) Sterling Transformation Extender (STE)")</f>
        <v>International Business Machines (IBM) Sterling Transformation Extender (STE)</v>
      </c>
      <c r="B3934" s="4" t="s">
        <v>329</v>
      </c>
      <c r="C3934" s="8" t="s">
        <v>5</v>
      </c>
      <c r="D3934" s="11" t="s">
        <v>224</v>
      </c>
    </row>
    <row r="3935" spans="1:4" ht="30">
      <c r="A3935" s="5" t="str">
        <f>HYPERLINK("https://www.oit.va.gov/Services/TRM/ToolPage.aspx?tid=5166^","Java Runtime Environment (JRE) - International Business Machines (IBM)")</f>
        <v>Java Runtime Environment (JRE) - International Business Machines (IBM)</v>
      </c>
      <c r="B3935" s="4" t="s">
        <v>329</v>
      </c>
      <c r="C3935" s="8" t="s">
        <v>5</v>
      </c>
      <c r="D3935" s="11" t="s">
        <v>2933</v>
      </c>
    </row>
    <row r="3936" spans="1:4" ht="30">
      <c r="A3936" s="5" t="str">
        <f>HYPERLINK("https://www.oit.va.gov/Services/TRM/ToolPage.aspx?tid=9862^","Maximo Anywhere")</f>
        <v>Maximo Anywhere</v>
      </c>
      <c r="B3936" s="4" t="s">
        <v>329</v>
      </c>
      <c r="C3936" s="8" t="s">
        <v>5</v>
      </c>
      <c r="D3936" s="11" t="s">
        <v>4391</v>
      </c>
    </row>
    <row r="3937" spans="1:4" ht="30">
      <c r="A3937" s="5" t="str">
        <f>HYPERLINK("https://www.oit.va.gov/Services/TRM/ToolPage.aspx?tid=14969^","Statistical Package for the Social Sciences (SPSS) Modeler")</f>
        <v>Statistical Package for the Social Sciences (SPSS) Modeler</v>
      </c>
      <c r="B3937" s="4" t="s">
        <v>329</v>
      </c>
      <c r="C3937" s="8" t="s">
        <v>5</v>
      </c>
      <c r="D3937" s="11" t="s">
        <v>2329</v>
      </c>
    </row>
    <row r="3938" spans="1:4" ht="30">
      <c r="A3938" s="5" t="str">
        <f>HYPERLINK("https://www.oit.va.gov/Services/TRM/ToolPage.aspx?tid=5729^","Statistical Product and Service Solutions (SPSS) Analysis of Moment Structures (AMOS)")</f>
        <v>Statistical Product and Service Solutions (SPSS) Analysis of Moment Structures (AMOS)</v>
      </c>
      <c r="B3938" s="4" t="s">
        <v>329</v>
      </c>
      <c r="C3938" s="8" t="s">
        <v>5</v>
      </c>
      <c r="D3938" s="11" t="s">
        <v>4851</v>
      </c>
    </row>
    <row r="3939" spans="1:4" ht="30">
      <c r="A3939" s="5" t="str">
        <f>HYPERLINK("https://www.oit.va.gov/Services/TRM/ToolPage.aspx?tid=8514^","Statistical Product and Service Solutions (SPSS) Regression")</f>
        <v>Statistical Product and Service Solutions (SPSS) Regression</v>
      </c>
      <c r="B3939" s="4" t="s">
        <v>329</v>
      </c>
      <c r="C3939" s="8" t="s">
        <v>5</v>
      </c>
      <c r="D3939" s="11" t="s">
        <v>4852</v>
      </c>
    </row>
    <row r="3940" spans="1:4" ht="30">
      <c r="A3940" s="5" t="str">
        <f>HYPERLINK("https://www.oit.va.gov/Services/TRM/ToolPage.aspx?tid=6495^","Websphere Application Server (WAS)")</f>
        <v>Websphere Application Server (WAS)</v>
      </c>
      <c r="B3940" s="4" t="s">
        <v>329</v>
      </c>
      <c r="C3940" s="8" t="s">
        <v>5</v>
      </c>
      <c r="D3940" s="11" t="s">
        <v>1144</v>
      </c>
    </row>
    <row r="3941" spans="1:4" ht="30">
      <c r="A3941" s="5" t="str">
        <f>HYPERLINK("https://www.oit.va.gov/Services/TRM/ToolPage.aspx?tid=8704^","Debug for z Systems")</f>
        <v>Debug for z Systems</v>
      </c>
      <c r="B3941" s="4" t="s">
        <v>329</v>
      </c>
      <c r="C3941" s="8" t="s">
        <v>5</v>
      </c>
      <c r="D3941" s="11" t="s">
        <v>5133</v>
      </c>
    </row>
    <row r="3942" spans="1:4" ht="30">
      <c r="A3942" s="5" t="str">
        <f>HYPERLINK("https://www.oit.va.gov/Services/TRM/ToolPage.aspx?tid=11679^","DS Storage Manager")</f>
        <v>DS Storage Manager</v>
      </c>
      <c r="B3942" s="4" t="s">
        <v>329</v>
      </c>
      <c r="C3942" s="8" t="s">
        <v>5</v>
      </c>
      <c r="D3942" s="11" t="s">
        <v>5158</v>
      </c>
    </row>
    <row r="3943" spans="1:4" ht="30">
      <c r="A3943" s="5" t="str">
        <f>HYPERLINK("https://www.oit.va.gov/Services/TRM/ToolPage.aspx?tid=7255^","Spectrum Protect for Space Management")</f>
        <v>Spectrum Protect for Space Management</v>
      </c>
      <c r="B3943" s="4" t="s">
        <v>329</v>
      </c>
      <c r="C3943" s="8" t="s">
        <v>5</v>
      </c>
      <c r="D3943" s="11" t="s">
        <v>2422</v>
      </c>
    </row>
    <row r="3944" spans="1:4" ht="30">
      <c r="A3944" s="5" t="str">
        <f>HYPERLINK("https://www.oit.va.gov/Services/TRM/ToolPage.aspx?tid=15575^","IBM Interactive System Productivity Facility (ISPF) for z/VM")</f>
        <v>IBM Interactive System Productivity Facility (ISPF) for z/VM</v>
      </c>
      <c r="B3944" s="4" t="s">
        <v>329</v>
      </c>
      <c r="C3944" s="8" t="s">
        <v>5</v>
      </c>
      <c r="D3944" s="11" t="s">
        <v>5863</v>
      </c>
    </row>
    <row r="3945" spans="1:4" ht="30">
      <c r="A3945" s="5" t="str">
        <f>HYPERLINK("https://www.oit.va.gov/Services/TRM/ToolPage.aspx?tid=15271^","Channel Path Identifier (CHPID) Mapping Tool")</f>
        <v>Channel Path Identifier (CHPID) Mapping Tool</v>
      </c>
      <c r="B3945" s="4" t="s">
        <v>329</v>
      </c>
      <c r="C3945" s="8" t="s">
        <v>5</v>
      </c>
      <c r="D3945" s="11" t="s">
        <v>433</v>
      </c>
    </row>
    <row r="3946" spans="1:4" ht="30">
      <c r="A3946" s="5" t="str">
        <f>HYPERLINK("https://www.oit.va.gov/Services/TRM/ToolPage.aspx?tid=14357^","Electronic Service Agent")</f>
        <v>Electronic Service Agent</v>
      </c>
      <c r="B3946" s="4" t="s">
        <v>329</v>
      </c>
      <c r="C3946" s="8" t="s">
        <v>5</v>
      </c>
      <c r="D3946" s="11" t="s">
        <v>6571</v>
      </c>
    </row>
    <row r="3947" spans="1:4" ht="30">
      <c r="A3947" s="5" t="str">
        <f>HYPERLINK("https://www.oit.va.gov/Services/TRM/ToolPage.aspx?tid=7377^","Forms Experience Builder")</f>
        <v>Forms Experience Builder</v>
      </c>
      <c r="B3947" s="4" t="s">
        <v>329</v>
      </c>
      <c r="C3947" s="8" t="s">
        <v>5</v>
      </c>
      <c r="D3947" s="11" t="s">
        <v>5188</v>
      </c>
    </row>
    <row r="3948" spans="1:4" ht="30">
      <c r="A3948" s="5" t="str">
        <f>HYPERLINK("https://www.oit.va.gov/Services/TRM/ToolPage.aspx?tid=15804^","IBM Infosphere Global Name Management")</f>
        <v>IBM Infosphere Global Name Management</v>
      </c>
      <c r="B3948" s="4" t="s">
        <v>329</v>
      </c>
      <c r="C3948" s="8" t="s">
        <v>5</v>
      </c>
      <c r="D3948" s="11" t="s">
        <v>43</v>
      </c>
    </row>
    <row r="3949" spans="1:4" ht="30">
      <c r="A3949" s="5" t="str">
        <f>HYPERLINK("https://www.oit.va.gov/Services/TRM/ToolPage.aspx?tid=7652^","IBM License Metric Tool (ILMT)")</f>
        <v>IBM License Metric Tool (ILMT)</v>
      </c>
      <c r="B3949" s="4" t="s">
        <v>329</v>
      </c>
      <c r="C3949" s="8" t="s">
        <v>5</v>
      </c>
      <c r="D3949" s="11" t="s">
        <v>4756</v>
      </c>
    </row>
    <row r="3950" spans="1:4" ht="30">
      <c r="A3950" s="5" t="str">
        <f>HYPERLINK("https://www.oit.va.gov/Services/TRM/ToolPage.aspx?tid=11151^","International Business Machine (IBM) License Key Server")</f>
        <v>International Business Machine (IBM) License Key Server</v>
      </c>
      <c r="B3950" s="4" t="s">
        <v>329</v>
      </c>
      <c r="C3950" s="8" t="s">
        <v>5</v>
      </c>
      <c r="D3950" s="11" t="s">
        <v>1629</v>
      </c>
    </row>
    <row r="3951" spans="1:4" ht="30">
      <c r="A3951" s="5" t="str">
        <f>HYPERLINK("https://www.oit.va.gov/Services/TRM/ToolPage.aspx?tid=6355^","International Business Machines (IBM) Business Process Manager (BPM)")</f>
        <v>International Business Machines (IBM) Business Process Manager (BPM)</v>
      </c>
      <c r="B3951" s="4" t="s">
        <v>329</v>
      </c>
      <c r="C3951" s="8" t="s">
        <v>5</v>
      </c>
      <c r="D3951" s="11" t="s">
        <v>6720</v>
      </c>
    </row>
    <row r="3952" spans="1:4" ht="30">
      <c r="A3952" s="5" t="str">
        <f>HYPERLINK("https://www.oit.va.gov/Services/TRM/ToolPage.aspx?tid=10740^","International Business Machines (IBM) FileNet Integrated Document Management (IDM) Desktop")</f>
        <v>International Business Machines (IBM) FileNet Integrated Document Management (IDM) Desktop</v>
      </c>
      <c r="B3952" s="4" t="s">
        <v>329</v>
      </c>
      <c r="C3952" s="8" t="s">
        <v>5</v>
      </c>
      <c r="D3952" s="11" t="s">
        <v>3316</v>
      </c>
    </row>
    <row r="3953" spans="1:4" ht="30">
      <c r="A3953" s="5" t="str">
        <f>HYPERLINK("https://www.oit.va.gov/Services/TRM/ToolPage.aspx?tid=7277^","International Business Machines (IBM) Spectrum Protect")</f>
        <v>International Business Machines (IBM) Spectrum Protect</v>
      </c>
      <c r="B3953" s="4" t="s">
        <v>329</v>
      </c>
      <c r="C3953" s="8" t="s">
        <v>5</v>
      </c>
      <c r="D3953" s="11" t="s">
        <v>6721</v>
      </c>
    </row>
    <row r="3954" spans="1:4" ht="30">
      <c r="A3954" s="5" t="str">
        <f>HYPERLINK("https://www.oit.va.gov/Services/TRM/ToolPage.aspx?tid=7375^","International Business Machines (IBM) ToolsCenter Bootable Media Creator (BoMC)")</f>
        <v>International Business Machines (IBM) ToolsCenter Bootable Media Creator (BoMC)</v>
      </c>
      <c r="B3954" s="4" t="s">
        <v>329</v>
      </c>
      <c r="C3954" s="8" t="s">
        <v>5</v>
      </c>
      <c r="D3954" s="11" t="s">
        <v>3616</v>
      </c>
    </row>
    <row r="3955" spans="1:4" ht="30">
      <c r="A3955" s="5" t="str">
        <f>HYPERLINK("https://www.oit.va.gov/Services/TRM/ToolPage.aspx?tid=7234^","PowerVM")</f>
        <v>PowerVM</v>
      </c>
      <c r="B3955" s="4" t="s">
        <v>329</v>
      </c>
      <c r="C3955" s="8" t="s">
        <v>5</v>
      </c>
      <c r="D3955" s="11" t="s">
        <v>7023</v>
      </c>
    </row>
    <row r="3956" spans="1:4" ht="30">
      <c r="A3956" s="5" t="str">
        <f>HYPERLINK("https://www.oit.va.gov/Services/TRM/ToolPage.aspx?tid=8528^","PureApplication")</f>
        <v>PureApplication</v>
      </c>
      <c r="B3956" s="4" t="s">
        <v>329</v>
      </c>
      <c r="C3956" s="8" t="s">
        <v>5</v>
      </c>
      <c r="D3956" s="11" t="s">
        <v>7042</v>
      </c>
    </row>
    <row r="3957" spans="1:4" ht="30">
      <c r="A3957" s="5" t="str">
        <f>HYPERLINK("https://www.oit.va.gov/Services/TRM/ToolPage.aspx?tid=47^","Rational TestManager")</f>
        <v>Rational TestManager</v>
      </c>
      <c r="B3957" s="4" t="s">
        <v>329</v>
      </c>
      <c r="C3957" s="8" t="s">
        <v>5</v>
      </c>
      <c r="D3957" s="11" t="s">
        <v>5109</v>
      </c>
    </row>
    <row r="3958" spans="1:4" ht="30">
      <c r="A3958" s="5" t="str">
        <f>HYPERLINK("https://www.oit.va.gov/Services/TRM/ToolPage.aspx?tid=279^","Rational XDE Developer")</f>
        <v>Rational XDE Developer</v>
      </c>
      <c r="B3958" s="4" t="s">
        <v>329</v>
      </c>
      <c r="C3958" s="8" t="s">
        <v>5</v>
      </c>
      <c r="D3958" s="11" t="s">
        <v>7066</v>
      </c>
    </row>
    <row r="3959" spans="1:4" ht="30">
      <c r="A3959" s="5" t="str">
        <f>HYPERLINK("https://www.oit.va.gov/Services/TRM/ToolPage.aspx?tid=280^","Rational XDE Tester")</f>
        <v>Rational XDE Tester</v>
      </c>
      <c r="B3959" s="4" t="s">
        <v>329</v>
      </c>
      <c r="C3959" s="8" t="s">
        <v>5</v>
      </c>
      <c r="D3959" s="11" t="s">
        <v>7067</v>
      </c>
    </row>
    <row r="3960" spans="1:4" ht="30">
      <c r="A3960" s="5" t="str">
        <f>HYPERLINK("https://www.oit.va.gov/Services/TRM/ToolPage.aspx?tid=10433^","ServeRAID Manager")</f>
        <v>ServeRAID Manager</v>
      </c>
      <c r="B3960" s="4" t="s">
        <v>329</v>
      </c>
      <c r="C3960" s="8" t="s">
        <v>5</v>
      </c>
      <c r="D3960" s="11" t="s">
        <v>7130</v>
      </c>
    </row>
    <row r="3961" spans="1:4" ht="30">
      <c r="A3961" s="5" t="str">
        <f>HYPERLINK("https://www.oit.va.gov/Services/TRM/ToolPage.aspx?tid=10883^","Statistical Product and Service Solutions (SPSS) Smartreader")</f>
        <v>Statistical Product and Service Solutions (SPSS) Smartreader</v>
      </c>
      <c r="B3961" s="4" t="s">
        <v>329</v>
      </c>
      <c r="C3961" s="8" t="s">
        <v>5</v>
      </c>
      <c r="D3961" s="11" t="s">
        <v>7186</v>
      </c>
    </row>
    <row r="3962" spans="1:4" ht="30">
      <c r="A3962" s="5" t="str">
        <f>HYPERLINK("https://www.oit.va.gov/Services/TRM/ToolPage.aspx?tid=6491^","Tivoli Composite Application Manager for Service-Oriented Architecture (ITCAM for SOA)")</f>
        <v>Tivoli Composite Application Manager for Service-Oriented Architecture (ITCAM for SOA)</v>
      </c>
      <c r="B3962" s="4" t="s">
        <v>329</v>
      </c>
      <c r="C3962" s="8" t="s">
        <v>5</v>
      </c>
      <c r="D3962" s="11" t="s">
        <v>7234</v>
      </c>
    </row>
    <row r="3963" spans="1:4" ht="45">
      <c r="A3963" s="5" t="str">
        <f>HYPERLINK("https://www.oit.va.gov/Services/TRM/ToolPage.aspx?tid=6522^","WebSphere Transformation Extender Pack for Health Insurance Portability and Accountability Act (HIPAA) Electronic Data Interchange (EDI)")</f>
        <v>WebSphere Transformation Extender Pack for Health Insurance Portability and Accountability Act (HIPAA) Electronic Data Interchange (EDI)</v>
      </c>
      <c r="B3963" s="4" t="s">
        <v>329</v>
      </c>
      <c r="C3963" s="8" t="s">
        <v>5</v>
      </c>
      <c r="D3963" s="11" t="s">
        <v>6149</v>
      </c>
    </row>
    <row r="3964" spans="1:4" ht="30">
      <c r="A3964" s="5" t="str">
        <f>HYPERLINK("https://www.oit.va.gov/Services/TRM/ToolPage.aspx?tid=13885^","Configuration Assistant for z/OS Communications Server")</f>
        <v>Configuration Assistant for z/OS Communications Server</v>
      </c>
      <c r="B3964" s="4" t="s">
        <v>329</v>
      </c>
      <c r="C3964" s="8" t="s">
        <v>5</v>
      </c>
      <c r="D3964" s="11" t="s">
        <v>6428</v>
      </c>
    </row>
    <row r="3965" spans="1:4" ht="30">
      <c r="A3965" s="5" t="str">
        <f>HYPERLINK("https://www.oit.va.gov/Services/TRM/ToolPage.aspx?tid=6851^","FileNet Connector for Microsoft Visio")</f>
        <v>FileNet Connector for Microsoft Visio</v>
      </c>
      <c r="B3965" s="4" t="s">
        <v>329</v>
      </c>
      <c r="C3965" s="8" t="s">
        <v>5</v>
      </c>
      <c r="D3965" s="11" t="s">
        <v>7845</v>
      </c>
    </row>
    <row r="3966" spans="1:4" ht="30">
      <c r="A3966" s="5" t="str">
        <f>HYPERLINK("https://www.oit.va.gov/Services/TRM/ToolPage.aspx?tid=7094^","IBM KeneXa Learning Content Management System (LCMS)")</f>
        <v>IBM KeneXa Learning Content Management System (LCMS)</v>
      </c>
      <c r="B3966" s="4" t="s">
        <v>329</v>
      </c>
      <c r="C3966" s="8" t="s">
        <v>5</v>
      </c>
      <c r="D3966" s="11" t="s">
        <v>211</v>
      </c>
    </row>
    <row r="3967" spans="1:4" ht="30">
      <c r="A3967" s="5" t="str">
        <f>HYPERLINK("https://www.oit.va.gov/Services/TRM/ToolPage.aspx?tid=6518^","International Business Machines (IBM) App Connect for Healthcare")</f>
        <v>International Business Machines (IBM) App Connect for Healthcare</v>
      </c>
      <c r="B3967" s="4" t="s">
        <v>329</v>
      </c>
      <c r="C3967" s="8" t="s">
        <v>5</v>
      </c>
      <c r="D3967" s="11" t="s">
        <v>3560</v>
      </c>
    </row>
    <row r="3968" spans="1:4" ht="30">
      <c r="A3968" s="5" t="str">
        <f>HYPERLINK("https://www.oit.va.gov/Services/TRM/ToolPage.aspx?tid=10674^","International Business Machines (IBM) FileNet Image Services Toolkit")</f>
        <v>International Business Machines (IBM) FileNet Image Services Toolkit</v>
      </c>
      <c r="B3968" s="4" t="s">
        <v>329</v>
      </c>
      <c r="C3968" s="8" t="s">
        <v>5</v>
      </c>
      <c r="D3968" s="11" t="s">
        <v>8094</v>
      </c>
    </row>
    <row r="3969" spans="1:4" ht="30">
      <c r="A3969" s="5" t="str">
        <f>HYPERLINK("https://www.oit.va.gov/Services/TRM/ToolPage.aspx?tid=14470^","Reliable Scalable Cluster Technology (RSCT)")</f>
        <v>Reliable Scalable Cluster Technology (RSCT)</v>
      </c>
      <c r="B3969" s="4" t="s">
        <v>329</v>
      </c>
      <c r="C3969" s="8" t="s">
        <v>5</v>
      </c>
      <c r="D3969" s="11" t="s">
        <v>8556</v>
      </c>
    </row>
    <row r="3970" spans="1:4" ht="30">
      <c r="A3970" s="5" t="str">
        <f>HYPERLINK("https://www.oit.va.gov/Services/TRM/ToolPage.aspx?tid=6925^","Single System Image (SSI)")</f>
        <v>Single System Image (SSI)</v>
      </c>
      <c r="B3970" s="4" t="s">
        <v>329</v>
      </c>
      <c r="C3970" s="8" t="s">
        <v>5</v>
      </c>
      <c r="D3970" s="11" t="s">
        <v>8088</v>
      </c>
    </row>
    <row r="3971" spans="1:4" ht="30">
      <c r="A3971" s="5" t="str">
        <f>HYPERLINK("https://www.oit.va.gov/Services/TRM/ToolPage.aspx?tid=9514^","Statistical Package for the Social Sciences (SPSS) Text Analytics for Surveys")</f>
        <v>Statistical Package for the Social Sciences (SPSS) Text Analytics for Surveys</v>
      </c>
      <c r="B3971" s="4" t="s">
        <v>329</v>
      </c>
      <c r="C3971" s="8" t="s">
        <v>5</v>
      </c>
      <c r="D3971" s="11" t="s">
        <v>3512</v>
      </c>
    </row>
    <row r="3972" spans="1:4" ht="30">
      <c r="A3972" s="5" t="str">
        <f>HYPERLINK("https://www.oit.va.gov/Services/TRM/ToolPage.aspx?tid=5478^","Virtual Machine (VM) Performance Toolkit")</f>
        <v>Virtual Machine (VM) Performance Toolkit</v>
      </c>
      <c r="B3972" s="4" t="s">
        <v>329</v>
      </c>
      <c r="C3972" s="8" t="s">
        <v>5</v>
      </c>
      <c r="D3972" s="11" t="s">
        <v>3547</v>
      </c>
    </row>
    <row r="3973" spans="1:4" ht="30">
      <c r="A3973" s="5" t="str">
        <f>HYPERLINK("https://www.oit.va.gov/Services/TRM/ToolPage.aspx?tid=16053^","International Business Machines (IBM) Equal Access Accessibility Checker")</f>
        <v>International Business Machines (IBM) Equal Access Accessibility Checker</v>
      </c>
      <c r="B3973" s="4" t="s">
        <v>1649</v>
      </c>
      <c r="C3973" s="8" t="s">
        <v>5</v>
      </c>
      <c r="D3973" s="11" t="s">
        <v>1521</v>
      </c>
    </row>
    <row r="3974" spans="1:4" ht="30">
      <c r="A3974" s="5" t="str">
        <f>HYPERLINK("https://www.oit.va.gov/Services/TRM/ToolPage.aspx?tid=13982^","QueueView")</f>
        <v>QueueView</v>
      </c>
      <c r="B3974" s="4" t="s">
        <v>8519</v>
      </c>
      <c r="C3974" s="8" t="s">
        <v>5</v>
      </c>
      <c r="D3974" s="11" t="s">
        <v>105</v>
      </c>
    </row>
    <row r="3975" spans="1:4" ht="30">
      <c r="A3975" s="5" t="str">
        <f>HYPERLINK("https://www.oit.va.gov/Services/TRM/StandardPage.aspx?tid=5297^","Access Control Framework")</f>
        <v>Access Control Framework</v>
      </c>
      <c r="B3975" s="4" t="s">
        <v>6228</v>
      </c>
      <c r="C3975" s="8" t="s">
        <v>5</v>
      </c>
      <c r="D3975" s="11" t="s">
        <v>6229</v>
      </c>
    </row>
    <row r="3976" spans="1:4" ht="30">
      <c r="A3976" s="5" t="str">
        <f>HYPERLINK("https://www.oit.va.gov/Services/TRM/StandardPage.aspx?tid=10986^","ISO/IEC M Programming Standard")</f>
        <v>ISO/IEC M Programming Standard</v>
      </c>
      <c r="B3976" s="4" t="s">
        <v>6228</v>
      </c>
      <c r="C3976" s="8" t="s">
        <v>5</v>
      </c>
      <c r="D3976" s="11" t="s">
        <v>2683</v>
      </c>
    </row>
    <row r="3977" spans="1:4" ht="30">
      <c r="A3977" s="5" t="str">
        <f>HYPERLINK("https://www.oit.va.gov/Services/TRM/StandardPage.aspx?tid=5263^","X.509 Public Key Infrastructure (PKI) Certificate and Certificate Revocation List (CRL) Profile")</f>
        <v>X.509 Public Key Infrastructure (PKI) Certificate and Certificate Revocation List (CRL) Profile</v>
      </c>
      <c r="B3977" s="4" t="s">
        <v>160</v>
      </c>
      <c r="C3977" s="8" t="s">
        <v>5</v>
      </c>
      <c r="D3977" s="11" t="s">
        <v>161</v>
      </c>
    </row>
    <row r="3978" spans="1:4" ht="30">
      <c r="A3978" s="5" t="str">
        <f>HYPERLINK("https://www.oit.va.gov/Services/TRM/StandardPage.aspx?tid=5278^","X.509 Public Key Infrastructure (PKI) Certificate Policy and Certification Practices Framework")</f>
        <v>X.509 Public Key Infrastructure (PKI) Certificate Policy and Certification Practices Framework</v>
      </c>
      <c r="B3978" s="4" t="s">
        <v>160</v>
      </c>
      <c r="C3978" s="8" t="s">
        <v>5</v>
      </c>
      <c r="D3978" s="11" t="s">
        <v>162</v>
      </c>
    </row>
    <row r="3979" spans="1:4" ht="30">
      <c r="A3979" s="5" t="str">
        <f>HYPERLINK("https://www.oit.va.gov/Services/TRM/StandardPage.aspx?tid=5265^","X.509 Public Key Infrastructure (PKI) Certificate Request Message Format (CRMF)")</f>
        <v>X.509 Public Key Infrastructure (PKI) Certificate Request Message Format (CRMF)</v>
      </c>
      <c r="B3979" s="4" t="s">
        <v>160</v>
      </c>
      <c r="C3979" s="8" t="s">
        <v>5</v>
      </c>
      <c r="D3979" s="11" t="s">
        <v>163</v>
      </c>
    </row>
    <row r="3980" spans="1:4" ht="30">
      <c r="A3980" s="5" t="str">
        <f>HYPERLINK("https://www.oit.va.gov/Services/TRM/StandardPage.aspx?tid=5269^","X.509 Public Key Infrastructure (PKI) Lightweight Directory Access Protocol (LDAP) Schema")</f>
        <v>X.509 Public Key Infrastructure (PKI) Lightweight Directory Access Protocol (LDAP) Schema</v>
      </c>
      <c r="B3980" s="4" t="s">
        <v>160</v>
      </c>
      <c r="C3980" s="8" t="s">
        <v>5</v>
      </c>
      <c r="D3980" s="11" t="s">
        <v>161</v>
      </c>
    </row>
    <row r="3981" spans="1:4" ht="30">
      <c r="A3981" s="5" t="str">
        <f>HYPERLINK("https://www.oit.va.gov/Services/TRM/StandardPage.aspx?tid=5267^","X.509 Public Key Infrastructure (PKI) Operational Protocols: Lightweight Directory Access Protocol (LDAP)")</f>
        <v>X.509 Public Key Infrastructure (PKI) Operational Protocols: Lightweight Directory Access Protocol (LDAP)</v>
      </c>
      <c r="B3981" s="4" t="s">
        <v>160</v>
      </c>
      <c r="C3981" s="8" t="s">
        <v>5</v>
      </c>
      <c r="D3981" s="11" t="s">
        <v>161</v>
      </c>
    </row>
    <row r="3982" spans="1:4" ht="30">
      <c r="A3982" s="5" t="str">
        <f>HYPERLINK("https://www.oit.va.gov/Services/TRM/StandardPage.aspx?tid=5264^","X.509 Public Key Infrastructure (PKI) Certificate Management Protocols")</f>
        <v>X.509 Public Key Infrastructure (PKI) Certificate Management Protocols</v>
      </c>
      <c r="B3982" s="4" t="s">
        <v>160</v>
      </c>
      <c r="C3982" s="8" t="s">
        <v>5</v>
      </c>
      <c r="D3982" s="11" t="s">
        <v>2071</v>
      </c>
    </row>
    <row r="3983" spans="1:4" ht="30">
      <c r="A3983" s="5" t="str">
        <f>HYPERLINK("https://www.oit.va.gov/Services/TRM/StandardPage.aspx?tid=5268^","X.509 Public Key Infrastructure (PKI) Online Certificate Status Protocol (OCSP)")</f>
        <v>X.509 Public Key Infrastructure (PKI) Online Certificate Status Protocol (OCSP)</v>
      </c>
      <c r="B3983" s="4" t="s">
        <v>160</v>
      </c>
      <c r="C3983" s="8" t="s">
        <v>5</v>
      </c>
      <c r="D3983" s="11" t="s">
        <v>162</v>
      </c>
    </row>
    <row r="3984" spans="1:4" ht="30">
      <c r="A3984" s="5" t="str">
        <f>HYPERLINK("https://www.oit.va.gov/Services/TRM/StandardPage.aspx?tid=5369^","X.500 The Directory")</f>
        <v>X.500 The Directory</v>
      </c>
      <c r="B3984" s="4" t="s">
        <v>160</v>
      </c>
      <c r="C3984" s="8" t="s">
        <v>5</v>
      </c>
      <c r="D3984" s="11" t="s">
        <v>3093</v>
      </c>
    </row>
    <row r="3985" spans="1:4" ht="30">
      <c r="A3985" s="5" t="str">
        <f>HYPERLINK("https://www.oit.va.gov/Services/TRM/StandardPage.aspx?tid=5266^","X.509 Public Key Infrastructure (PKI) Representation of Key Exchange Algorithm (KEA) Keys")</f>
        <v>X.509 Public Key Infrastructure (PKI) Representation of Key Exchange Algorithm (KEA) Keys</v>
      </c>
      <c r="B3985" s="4" t="s">
        <v>160</v>
      </c>
      <c r="C3985" s="8" t="s">
        <v>5</v>
      </c>
      <c r="D3985" s="11" t="s">
        <v>162</v>
      </c>
    </row>
    <row r="3986" spans="1:4" ht="30">
      <c r="A3986" s="5" t="str">
        <f>HYPERLINK("https://www.oit.va.gov/Services/TRM/StandardPage.aspx?tid=14^","Lightweight Directory Access Protocol (LDAP)")</f>
        <v>Lightweight Directory Access Protocol (LDAP)</v>
      </c>
      <c r="B3986" s="4" t="s">
        <v>160</v>
      </c>
      <c r="C3986" s="8" t="s">
        <v>5</v>
      </c>
      <c r="D3986" s="11" t="s">
        <v>3362</v>
      </c>
    </row>
    <row r="3987" spans="1:4" ht="30">
      <c r="A3987" s="5" t="str">
        <f>HYPERLINK("https://www.oit.va.gov/Services/TRM/StandardPage.aspx?tid=5380^","Point-to-Point Protocol (PPP)")</f>
        <v>Point-to-Point Protocol (PPP)</v>
      </c>
      <c r="B3987" s="4" t="s">
        <v>160</v>
      </c>
      <c r="C3987" s="8" t="s">
        <v>5</v>
      </c>
      <c r="D3987" s="11" t="s">
        <v>3458</v>
      </c>
    </row>
    <row r="3988" spans="1:4" ht="30">
      <c r="A3988" s="5" t="str">
        <f>HYPERLINK("https://www.oit.va.gov/Services/TRM/StandardPage.aspx?tid=5373^","Simple Mail Transfer Protocol (SMTP)")</f>
        <v>Simple Mail Transfer Protocol (SMTP)</v>
      </c>
      <c r="B3988" s="4" t="s">
        <v>160</v>
      </c>
      <c r="C3988" s="8" t="s">
        <v>5</v>
      </c>
      <c r="D3988" s="11" t="s">
        <v>3523</v>
      </c>
    </row>
    <row r="3989" spans="1:4" ht="30">
      <c r="A3989" s="5" t="str">
        <f>HYPERLINK("https://www.oit.va.gov/Services/TRM/StandardPage.aspx?tid=5522^","Cryptographic Message Syntax (CMS)")</f>
        <v>Cryptographic Message Syntax (CMS)</v>
      </c>
      <c r="B3989" s="4" t="s">
        <v>160</v>
      </c>
      <c r="C3989" s="8" t="s">
        <v>5</v>
      </c>
      <c r="D3989" s="11" t="s">
        <v>1434</v>
      </c>
    </row>
    <row r="3990" spans="1:4" ht="30">
      <c r="A3990" s="5" t="str">
        <f>HYPERLINK("https://www.oit.va.gov/Services/TRM/StandardPage.aspx?tid=5393^","Management Information Base (MIB)")</f>
        <v>Management Information Base (MIB)</v>
      </c>
      <c r="B3990" s="4" t="s">
        <v>160</v>
      </c>
      <c r="C3990" s="8" t="s">
        <v>5</v>
      </c>
      <c r="D3990" s="11" t="s">
        <v>5321</v>
      </c>
    </row>
    <row r="3991" spans="1:4" ht="30">
      <c r="A3991" s="5" t="str">
        <f>HYPERLINK("https://www.oit.va.gov/Services/TRM/StandardPage.aspx?tid=5419^","Multiprotocol Label Switching (MPLS) Architecture")</f>
        <v>Multiprotocol Label Switching (MPLS) Architecture</v>
      </c>
      <c r="B3991" s="4" t="s">
        <v>160</v>
      </c>
      <c r="C3991" s="8" t="s">
        <v>5</v>
      </c>
      <c r="D3991" s="11" t="s">
        <v>1255</v>
      </c>
    </row>
    <row r="3992" spans="1:4" ht="30">
      <c r="A3992" s="5" t="str">
        <f>HYPERLINK("https://www.oit.va.gov/Services/TRM/StandardPage.aspx?tid=10733^","Secure Sockets Layer (SSL)")</f>
        <v>Secure Sockets Layer (SSL)</v>
      </c>
      <c r="B3992" s="4" t="s">
        <v>160</v>
      </c>
      <c r="C3992" s="8" t="s">
        <v>5</v>
      </c>
      <c r="D3992" s="11" t="s">
        <v>5499</v>
      </c>
    </row>
    <row r="3993" spans="1:4" ht="30">
      <c r="A3993" s="5" t="str">
        <f>HYPERLINK("https://www.oit.va.gov/Services/TRM/StandardPage.aspx?tid=7031^","Secure File Transfer Protocol (SFTP)")</f>
        <v>Secure File Transfer Protocol (SFTP)</v>
      </c>
      <c r="B3993" s="4" t="s">
        <v>160</v>
      </c>
      <c r="C3993" s="8" t="s">
        <v>5</v>
      </c>
      <c r="D3993" s="11" t="s">
        <v>3487</v>
      </c>
    </row>
    <row r="3994" spans="1:4" ht="30">
      <c r="A3994" s="5" t="str">
        <f>HYPERLINK("https://www.oit.va.gov/Services/TRM/StandardPage.aspx?tid=5431^","Basic Transition Mechanisms for IPv6 Hosts Routers")</f>
        <v>Basic Transition Mechanisms for IPv6 Hosts Routers</v>
      </c>
      <c r="B3994" s="4" t="s">
        <v>160</v>
      </c>
      <c r="C3994" s="8" t="s">
        <v>5</v>
      </c>
      <c r="D3994" s="11" t="s">
        <v>3103</v>
      </c>
    </row>
    <row r="3995" spans="1:4" ht="30">
      <c r="A3995" s="5" t="str">
        <f>HYPERLINK("https://www.oit.va.gov/Services/TRM/StandardPage.aspx?tid=5362^","Border Gateway Protocol (BGP)")</f>
        <v>Border Gateway Protocol (BGP)</v>
      </c>
      <c r="B3995" s="4" t="s">
        <v>160</v>
      </c>
      <c r="C3995" s="8" t="s">
        <v>5</v>
      </c>
      <c r="D3995" s="11" t="s">
        <v>4995</v>
      </c>
    </row>
    <row r="3996" spans="1:4" ht="30">
      <c r="A3996" s="5" t="str">
        <f>HYPERLINK("https://www.oit.va.gov/Services/TRM/StandardPage.aspx?tid=6389^","Comma-Separated Values (CSV) Format")</f>
        <v>Comma-Separated Values (CSV) Format</v>
      </c>
      <c r="B3996" s="4" t="s">
        <v>160</v>
      </c>
      <c r="C3996" s="8" t="s">
        <v>5</v>
      </c>
      <c r="D3996" s="11" t="s">
        <v>5237</v>
      </c>
    </row>
    <row r="3997" spans="1:4" ht="30">
      <c r="A3997" s="5" t="str">
        <f>HYPERLINK("https://www.oit.va.gov/Services/TRM/StandardPage.aspx?tid=5368^","Dynamic Updates in the Domain Name System (DNS UPDATE)")</f>
        <v>Dynamic Updates in the Domain Name System (DNS UPDATE)</v>
      </c>
      <c r="B3997" s="4" t="s">
        <v>160</v>
      </c>
      <c r="C3997" s="8" t="s">
        <v>5</v>
      </c>
      <c r="D3997" s="11" t="s">
        <v>6555</v>
      </c>
    </row>
    <row r="3998" spans="1:4" ht="30">
      <c r="A3998" s="5" t="str">
        <f>HYPERLINK("https://www.oit.va.gov/Services/TRM/StandardPage.aspx?tid=5281^","Extensible Authentication Protocol (EAP)")</f>
        <v>Extensible Authentication Protocol (EAP)</v>
      </c>
      <c r="B3998" s="4" t="s">
        <v>160</v>
      </c>
      <c r="C3998" s="8" t="s">
        <v>5</v>
      </c>
      <c r="D3998" s="11" t="s">
        <v>4136</v>
      </c>
    </row>
    <row r="3999" spans="1:4" ht="30">
      <c r="A3999" s="5" t="str">
        <f>HYPERLINK("https://www.oit.va.gov/Services/TRM/StandardPage.aspx?tid=5314^","Extensible Authentication Protocol Tunneled Transport Layer Security (EAP-TTLS)")</f>
        <v>Extensible Authentication Protocol Tunneled Transport Layer Security (EAP-TTLS)</v>
      </c>
      <c r="B3999" s="4" t="s">
        <v>160</v>
      </c>
      <c r="C3999" s="8" t="s">
        <v>5</v>
      </c>
      <c r="D3999" s="11" t="s">
        <v>6599</v>
      </c>
    </row>
    <row r="4000" spans="1:4" ht="30">
      <c r="A4000" s="5" t="str">
        <f>HYPERLINK("https://www.oit.va.gov/Services/TRM/StandardPage.aspx?tid=5332^","Hypertext Transfer Protocol (HTTP)")</f>
        <v>Hypertext Transfer Protocol (HTTP)</v>
      </c>
      <c r="B4000" s="4" t="s">
        <v>160</v>
      </c>
      <c r="C4000" s="8" t="s">
        <v>5</v>
      </c>
      <c r="D4000" s="11" t="s">
        <v>6701</v>
      </c>
    </row>
    <row r="4001" spans="1:4" ht="30">
      <c r="A4001" s="5" t="str">
        <f>HYPERLINK("https://www.oit.va.gov/Services/TRM/StandardPage.aspx?tid=9525^","Internet Group Management Protocol (IGMP)")</f>
        <v>Internet Group Management Protocol (IGMP)</v>
      </c>
      <c r="B4001" s="4" t="s">
        <v>160</v>
      </c>
      <c r="C4001" s="8" t="s">
        <v>5</v>
      </c>
      <c r="D4001" s="11" t="s">
        <v>6722</v>
      </c>
    </row>
    <row r="4002" spans="1:4" ht="30">
      <c r="A4002" s="5" t="str">
        <f>HYPERLINK("https://www.oit.va.gov/Services/TRM/StandardPage.aspx?tid=5372^","Internet Message Access Protocol (IMAP)")</f>
        <v>Internet Message Access Protocol (IMAP)</v>
      </c>
      <c r="B4002" s="4" t="s">
        <v>160</v>
      </c>
      <c r="C4002" s="8" t="s">
        <v>5</v>
      </c>
      <c r="D4002" s="11" t="s">
        <v>6723</v>
      </c>
    </row>
    <row r="4003" spans="1:4" ht="30">
      <c r="A4003" s="5" t="str">
        <f>HYPERLINK("https://www.oit.va.gov/Services/TRM/StandardPage.aspx?tid=5262^","Internet Protocol (IP) Authentication Header (AH)")</f>
        <v>Internet Protocol (IP) Authentication Header (AH)</v>
      </c>
      <c r="B4003" s="4" t="s">
        <v>160</v>
      </c>
      <c r="C4003" s="8" t="s">
        <v>5</v>
      </c>
      <c r="D4003" s="11" t="s">
        <v>5162</v>
      </c>
    </row>
    <row r="4004" spans="1:4" ht="30">
      <c r="A4004" s="5" t="str">
        <f>HYPERLINK("https://www.oit.va.gov/Services/TRM/StandardPage.aspx?tid=5427^","Internet Protocol Version 6 (IPv6)")</f>
        <v>Internet Protocol Version 6 (IPv6)</v>
      </c>
      <c r="B4004" s="4" t="s">
        <v>160</v>
      </c>
      <c r="C4004" s="8" t="s">
        <v>5</v>
      </c>
      <c r="D4004" s="11" t="s">
        <v>4995</v>
      </c>
    </row>
    <row r="4005" spans="1:4" ht="30">
      <c r="A4005" s="5" t="str">
        <f>HYPERLINK("https://www.oit.va.gov/Services/TRM/StandardPage.aspx?tid=9733^","JavaScript Object Notation (JSON) Web Token (JWT)")</f>
        <v>JavaScript Object Notation (JSON) Web Token (JWT)</v>
      </c>
      <c r="B4005" s="4" t="s">
        <v>160</v>
      </c>
      <c r="C4005" s="8" t="s">
        <v>5</v>
      </c>
      <c r="D4005" s="11" t="s">
        <v>1049</v>
      </c>
    </row>
    <row r="4006" spans="1:4" ht="30">
      <c r="A4006" s="5" t="str">
        <f>HYPERLINK("https://www.oit.va.gov/Services/TRM/StandardPage.aspx?tid=5381^","Layer Two Tunneling Protocol (L2TP)")</f>
        <v>Layer Two Tunneling Protocol (L2TP)</v>
      </c>
      <c r="B4006" s="4" t="s">
        <v>160</v>
      </c>
      <c r="C4006" s="8" t="s">
        <v>5</v>
      </c>
      <c r="D4006" s="11" t="s">
        <v>1959</v>
      </c>
    </row>
    <row r="4007" spans="1:4" ht="30">
      <c r="A4007" s="5" t="str">
        <f>HYPERLINK("https://www.oit.va.gov/Services/TRM/StandardPage.aspx?tid=5275^","Multipurpose Internet Mail Extensions (MIME)")</f>
        <v>Multipurpose Internet Mail Extensions (MIME)</v>
      </c>
      <c r="B4007" s="4" t="s">
        <v>160</v>
      </c>
      <c r="C4007" s="8" t="s">
        <v>5</v>
      </c>
      <c r="D4007" s="11" t="s">
        <v>5192</v>
      </c>
    </row>
    <row r="4008" spans="1:4" ht="30">
      <c r="A4008" s="5" t="str">
        <f>HYPERLINK("https://www.oit.va.gov/Services/TRM/StandardPage.aspx?tid=5416^","Neighbor Discovery for IPv6")</f>
        <v>Neighbor Discovery for IPv6</v>
      </c>
      <c r="B4008" s="4" t="s">
        <v>160</v>
      </c>
      <c r="C4008" s="8" t="s">
        <v>5</v>
      </c>
      <c r="D4008" s="11" t="s">
        <v>5383</v>
      </c>
    </row>
    <row r="4009" spans="1:4" ht="30">
      <c r="A4009" s="5" t="str">
        <f>HYPERLINK("https://www.oit.va.gov/Services/TRM/StandardPage.aspx?tid=5363^","Open Shortest Path First (OSPF) Protocol")</f>
        <v>Open Shortest Path First (OSPF) Protocol</v>
      </c>
      <c r="B4009" s="4" t="s">
        <v>160</v>
      </c>
      <c r="C4009" s="8" t="s">
        <v>5</v>
      </c>
      <c r="D4009" s="11" t="s">
        <v>1172</v>
      </c>
    </row>
    <row r="4010" spans="1:4" ht="30">
      <c r="A4010" s="5" t="str">
        <f>HYPERLINK("https://www.oit.va.gov/Services/TRM/StandardPage.aspx?tid=5257^","PPP Triple-DES Encryption Protocol (3DESE)")</f>
        <v>PPP Triple-DES Encryption Protocol (3DESE)</v>
      </c>
      <c r="B4010" s="4" t="s">
        <v>160</v>
      </c>
      <c r="C4010" s="8" t="s">
        <v>5</v>
      </c>
      <c r="D4010" s="11" t="s">
        <v>7024</v>
      </c>
    </row>
    <row r="4011" spans="1:4" ht="30">
      <c r="A4011" s="5" t="str">
        <f>HYPERLINK("https://www.oit.va.gov/Services/TRM/StandardPage.aspx?tid=5261^","Remote Authentication Dial In User Service (RADIUS)")</f>
        <v>Remote Authentication Dial In User Service (RADIUS)</v>
      </c>
      <c r="B4011" s="4" t="s">
        <v>160</v>
      </c>
      <c r="C4011" s="8" t="s">
        <v>5</v>
      </c>
      <c r="D4011" s="11" t="s">
        <v>6722</v>
      </c>
    </row>
    <row r="4012" spans="1:4" ht="30">
      <c r="A4012" s="5" t="str">
        <f>HYPERLINK("https://www.oit.va.gov/Services/TRM/StandardPage.aspx?tid=5272^","Secure/Multipurpose Internet Mail Extensions (S/MIME) Certificate Handling")</f>
        <v>Secure/Multipurpose Internet Mail Extensions (S/MIME) Certificate Handling</v>
      </c>
      <c r="B4012" s="4" t="s">
        <v>160</v>
      </c>
      <c r="C4012" s="8" t="s">
        <v>5</v>
      </c>
      <c r="D4012" s="11" t="s">
        <v>163</v>
      </c>
    </row>
    <row r="4013" spans="1:4" ht="30">
      <c r="A4013" s="5" t="str">
        <f>HYPERLINK("https://www.oit.va.gov/Services/TRM/StandardPage.aspx?tid=5258^","Secure/Multipurpose Internet Mail Extensions (S/MIME) Message Specification")</f>
        <v>Secure/Multipurpose Internet Mail Extensions (S/MIME) Message Specification</v>
      </c>
      <c r="B4013" s="4" t="s">
        <v>160</v>
      </c>
      <c r="C4013" s="8" t="s">
        <v>5</v>
      </c>
      <c r="D4013" s="11" t="s">
        <v>163</v>
      </c>
    </row>
    <row r="4014" spans="1:4" ht="30">
      <c r="A4014" s="5" t="str">
        <f>HYPERLINK("https://www.oit.va.gov/Services/TRM/StandardPage.aspx?tid=5271^","Security Architecture for the Internet Protocol (IPSec)")</f>
        <v>Security Architecture for the Internet Protocol (IPSec)</v>
      </c>
      <c r="B4014" s="4" t="s">
        <v>160</v>
      </c>
      <c r="C4014" s="8" t="s">
        <v>5</v>
      </c>
      <c r="D4014" s="11" t="s">
        <v>163</v>
      </c>
    </row>
    <row r="4015" spans="1:4" ht="30">
      <c r="A4015" s="5" t="str">
        <f>HYPERLINK("https://www.oit.va.gov/Services/TRM/StandardPage.aspx?tid=10781^","Session Initiation Protocol (SIP)")</f>
        <v>Session Initiation Protocol (SIP)</v>
      </c>
      <c r="B4015" s="4" t="s">
        <v>160</v>
      </c>
      <c r="C4015" s="8" t="s">
        <v>5</v>
      </c>
      <c r="D4015" s="11" t="s">
        <v>7134</v>
      </c>
    </row>
    <row r="4016" spans="1:4" ht="30">
      <c r="A4016" s="5" t="str">
        <f>HYPERLINK("https://www.oit.va.gov/Services/TRM/StandardPage.aspx?tid=5392^","Simple Network Management Protocol (SNMP)")</f>
        <v>Simple Network Management Protocol (SNMP)</v>
      </c>
      <c r="B4016" s="4" t="s">
        <v>160</v>
      </c>
      <c r="C4016" s="8" t="s">
        <v>5</v>
      </c>
      <c r="D4016" s="11" t="s">
        <v>2426</v>
      </c>
    </row>
    <row r="4017" spans="1:4" ht="30">
      <c r="A4017" s="5" t="str">
        <f>HYPERLINK("https://www.oit.va.gov/Services/TRM/StandardPage.aspx?tid=5384^","Transmission Control Protocol (TCP)")</f>
        <v>Transmission Control Protocol (TCP)</v>
      </c>
      <c r="B4017" s="4" t="s">
        <v>160</v>
      </c>
      <c r="C4017" s="8" t="s">
        <v>5</v>
      </c>
      <c r="D4017" s="11" t="s">
        <v>3093</v>
      </c>
    </row>
    <row r="4018" spans="1:4" ht="30">
      <c r="A4018" s="5" t="str">
        <f>HYPERLINK("https://www.oit.va.gov/Services/TRM/StandardPage.aspx?tid=5205^","Uniform Resource Identifiers (URI)")</f>
        <v>Uniform Resource Identifiers (URI)</v>
      </c>
      <c r="B4018" s="4" t="s">
        <v>160</v>
      </c>
      <c r="C4018" s="8" t="s">
        <v>5</v>
      </c>
      <c r="D4018" s="11" t="s">
        <v>1603</v>
      </c>
    </row>
    <row r="4019" spans="1:4" ht="30">
      <c r="A4019" s="5" t="str">
        <f>HYPERLINK("https://www.oit.va.gov/Services/TRM/StandardPage.aspx?tid=5429^","A Framework for Internet Protocol (IP) Based Virtual Private Networks (VPNs)")</f>
        <v>A Framework for Internet Protocol (IP) Based Virtual Private Networks (VPNs)</v>
      </c>
      <c r="B4019" s="4" t="s">
        <v>160</v>
      </c>
      <c r="C4019" s="8" t="s">
        <v>5</v>
      </c>
      <c r="D4019" s="11" t="s">
        <v>2194</v>
      </c>
    </row>
    <row r="4020" spans="1:4" ht="30">
      <c r="A4020" s="5" t="str">
        <f>HYPERLINK("https://www.oit.va.gov/Services/TRM/StandardPage.aspx?tid=5413^","Architecture for IP Address Allocation with Classless Inter-Domain Routing (CIDR)")</f>
        <v>Architecture for IP Address Allocation with Classless Inter-Domain Routing (CIDR)</v>
      </c>
      <c r="B4020" s="4" t="s">
        <v>160</v>
      </c>
      <c r="C4020" s="8" t="s">
        <v>5</v>
      </c>
      <c r="D4020" s="11" t="s">
        <v>7473</v>
      </c>
    </row>
    <row r="4021" spans="1:4" ht="30">
      <c r="A4021" s="5" t="str">
        <f>HYPERLINK("https://www.oit.va.gov/Services/TRM/StandardPage.aspx?tid=5414^","Classless Inter-Domain Routing (CIDR)")</f>
        <v>Classless Inter-Domain Routing (CIDR)</v>
      </c>
      <c r="B4021" s="4" t="s">
        <v>160</v>
      </c>
      <c r="C4021" s="8" t="s">
        <v>5</v>
      </c>
      <c r="D4021" s="11" t="s">
        <v>7652</v>
      </c>
    </row>
    <row r="4022" spans="1:4" ht="45">
      <c r="A4022" s="5" t="str">
        <f>HYPERLINK("https://www.oit.va.gov/Services/TRM/StandardPage.aspx?tid=5260^","Cryptographic Algorithm Implementation Requirements and Usage Guidance for Encapsulating Security Payload (ESP) and Authentication Header (AH)")</f>
        <v>Cryptographic Algorithm Implementation Requirements and Usage Guidance for Encapsulating Security Payload (ESP) and Authentication Header (AH)</v>
      </c>
      <c r="B4022" s="4" t="s">
        <v>160</v>
      </c>
      <c r="C4022" s="8" t="s">
        <v>5</v>
      </c>
      <c r="D4022" s="11" t="s">
        <v>7713</v>
      </c>
    </row>
    <row r="4023" spans="1:4" ht="30">
      <c r="A4023" s="5" t="str">
        <f>HYPERLINK("https://www.oit.va.gov/Services/TRM/StandardPage.aspx?tid=5428^","Differentiated Services (DS) Field in IPv4 and IPv6 Headers")</f>
        <v>Differentiated Services (DS) Field in IPv4 and IPv6 Headers</v>
      </c>
      <c r="B4023" s="4" t="s">
        <v>160</v>
      </c>
      <c r="C4023" s="8" t="s">
        <v>5</v>
      </c>
      <c r="D4023" s="11" t="s">
        <v>7134</v>
      </c>
    </row>
    <row r="4024" spans="1:4" ht="30">
      <c r="A4024" s="5" t="str">
        <f>HYPERLINK("https://www.oit.va.gov/Services/TRM/StandardPage.aspx?tid=10371^","Domain Name System (DNS) - Storing Certificates")</f>
        <v>Domain Name System (DNS) - Storing Certificates</v>
      </c>
      <c r="B4024" s="4" t="s">
        <v>160</v>
      </c>
      <c r="C4024" s="8" t="s">
        <v>5</v>
      </c>
      <c r="D4024" s="11" t="s">
        <v>7134</v>
      </c>
    </row>
    <row r="4025" spans="1:4" ht="30">
      <c r="A4025" s="5" t="str">
        <f>HYPERLINK("https://www.oit.va.gov/Services/TRM/StandardPage.aspx?tid=5378^","Domain Name System (DNS) Configuration Options")</f>
        <v>Domain Name System (DNS) Configuration Options</v>
      </c>
      <c r="B4025" s="4" t="s">
        <v>160</v>
      </c>
      <c r="C4025" s="8" t="s">
        <v>5</v>
      </c>
      <c r="D4025" s="11" t="s">
        <v>2328</v>
      </c>
    </row>
    <row r="4026" spans="1:4" ht="30">
      <c r="A4026" s="5" t="str">
        <f>HYPERLINK("https://www.oit.va.gov/Services/TRM/StandardPage.aspx?tid=5367^","Domain Name System (DNS) Extensions to Support Internet Protocol (IP) Version 6 (IPv6)")</f>
        <v>Domain Name System (DNS) Extensions to Support Internet Protocol (IP) Version 6 (IPv6)</v>
      </c>
      <c r="B4026" s="4" t="s">
        <v>160</v>
      </c>
      <c r="C4026" s="8" t="s">
        <v>5</v>
      </c>
      <c r="D4026" s="11" t="s">
        <v>2328</v>
      </c>
    </row>
    <row r="4027" spans="1:4" ht="30">
      <c r="A4027" s="5" t="str">
        <f>HYPERLINK("https://www.oit.va.gov/Services/TRM/StandardPage.aspx?tid=5366^","Domain Name System (DNS) Structure and Delegation")</f>
        <v>Domain Name System (DNS) Structure and Delegation</v>
      </c>
      <c r="B4027" s="4" t="s">
        <v>160</v>
      </c>
      <c r="C4027" s="8" t="s">
        <v>5</v>
      </c>
      <c r="D4027" s="11" t="s">
        <v>6509</v>
      </c>
    </row>
    <row r="4028" spans="1:4" ht="30">
      <c r="A4028" s="5" t="str">
        <f>HYPERLINK("https://www.oit.va.gov/Services/TRM/StandardPage.aspx?tid=8319^","Domain Names - Concepts and Facilities")</f>
        <v>Domain Names - Concepts and Facilities</v>
      </c>
      <c r="B4028" s="4" t="s">
        <v>160</v>
      </c>
      <c r="C4028" s="8" t="s">
        <v>5</v>
      </c>
      <c r="D4028" s="11" t="s">
        <v>7790</v>
      </c>
    </row>
    <row r="4029" spans="1:4" ht="30">
      <c r="A4029" s="5" t="str">
        <f>HYPERLINK("https://www.oit.va.gov/Services/TRM/StandardPage.aspx?tid=8320^","Domain Names - Implementation and Specification")</f>
        <v>Domain Names - Implementation and Specification</v>
      </c>
      <c r="B4029" s="4" t="s">
        <v>160</v>
      </c>
      <c r="C4029" s="8" t="s">
        <v>5</v>
      </c>
      <c r="D4029" s="11" t="s">
        <v>7790</v>
      </c>
    </row>
    <row r="4030" spans="1:4" ht="30">
      <c r="A4030" s="5" t="str">
        <f>HYPERLINK("https://www.oit.va.gov/Services/TRM/StandardPage.aspx?tid=5386^","Dynamic Host Configuration Protocol (DHCP)")</f>
        <v>Dynamic Host Configuration Protocol (DHCP)</v>
      </c>
      <c r="B4030" s="4" t="s">
        <v>160</v>
      </c>
      <c r="C4030" s="8" t="s">
        <v>5</v>
      </c>
      <c r="D4030" s="11" t="s">
        <v>7820</v>
      </c>
    </row>
    <row r="4031" spans="1:4" ht="30">
      <c r="A4031" s="5" t="str">
        <f>HYPERLINK("https://www.oit.va.gov/Services/TRM/StandardPage.aspx?tid=5421^","Dynamic Host Configuration Protocol Configuration of IPsec Tunnel Mode (DHCPv4)")</f>
        <v>Dynamic Host Configuration Protocol Configuration of IPsec Tunnel Mode (DHCPv4)</v>
      </c>
      <c r="B4031" s="4" t="s">
        <v>160</v>
      </c>
      <c r="C4031" s="8" t="s">
        <v>5</v>
      </c>
      <c r="D4031" s="11" t="s">
        <v>7821</v>
      </c>
    </row>
    <row r="4032" spans="1:4" ht="30">
      <c r="A4032" s="5" t="str">
        <f>HYPERLINK("https://www.oit.va.gov/Services/TRM/StandardPage.aspx?tid=5420^","Dynamic Host Configuration Protocol for IPv6 (DHCPv6)")</f>
        <v>Dynamic Host Configuration Protocol for IPv6 (DHCPv6)</v>
      </c>
      <c r="B4032" s="4" t="s">
        <v>160</v>
      </c>
      <c r="C4032" s="8" t="s">
        <v>5</v>
      </c>
      <c r="D4032" s="11" t="s">
        <v>7822</v>
      </c>
    </row>
    <row r="4033" spans="1:4" ht="30">
      <c r="A4033" s="5" t="str">
        <f>HYPERLINK("https://www.oit.va.gov/Services/TRM/StandardPage.aspx?tid=5415^","Encryption Algorithm and IPsec")</f>
        <v>Encryption Algorithm and IPsec</v>
      </c>
      <c r="B4033" s="4" t="s">
        <v>160</v>
      </c>
      <c r="C4033" s="8" t="s">
        <v>5</v>
      </c>
      <c r="D4033" s="11" t="s">
        <v>7860</v>
      </c>
    </row>
    <row r="4034" spans="1:4" ht="30">
      <c r="A4034" s="5" t="str">
        <f>HYPERLINK("https://www.oit.va.gov/Services/TRM/StandardPage.aspx?tid=5374^","Extended Simple Mail Transfer Protocol (ESMTP)")</f>
        <v>Extended Simple Mail Transfer Protocol (ESMTP)</v>
      </c>
      <c r="B4034" s="4" t="s">
        <v>160</v>
      </c>
      <c r="C4034" s="8" t="s">
        <v>5</v>
      </c>
      <c r="D4034" s="11" t="s">
        <v>7874</v>
      </c>
    </row>
    <row r="4035" spans="1:4" ht="30">
      <c r="A4035" s="5" t="str">
        <f>HYPERLINK("https://www.oit.va.gov/Services/TRM/StandardPage.aspx?tid=5335^","File Transfer Protocol (FTP) Extensions")</f>
        <v>File Transfer Protocol (FTP) Extensions</v>
      </c>
      <c r="B4035" s="4" t="s">
        <v>160</v>
      </c>
      <c r="C4035" s="8" t="s">
        <v>5</v>
      </c>
      <c r="D4035" s="11" t="s">
        <v>7920</v>
      </c>
    </row>
    <row r="4036" spans="1:4" ht="30">
      <c r="A4036" s="5" t="str">
        <f>HYPERLINK("https://www.oit.va.gov/Services/TRM/StandardPage.aspx?tid=8286^","Generic Packet Tunneling in Internet Protocol Version Six (IPv6)")</f>
        <v>Generic Packet Tunneling in Internet Protocol Version Six (IPv6)</v>
      </c>
      <c r="B4036" s="4" t="s">
        <v>160</v>
      </c>
      <c r="C4036" s="8" t="s">
        <v>5</v>
      </c>
      <c r="D4036" s="11" t="s">
        <v>7969</v>
      </c>
    </row>
    <row r="4037" spans="1:4" ht="30">
      <c r="A4037" s="5" t="str">
        <f>HYPERLINK("https://www.oit.va.gov/Services/TRM/StandardPage.aspx?tid=6263^","iCalendar")</f>
        <v>iCalendar</v>
      </c>
      <c r="B4037" s="4" t="s">
        <v>160</v>
      </c>
      <c r="C4037" s="8" t="s">
        <v>5</v>
      </c>
      <c r="D4037" s="11" t="s">
        <v>3868</v>
      </c>
    </row>
    <row r="4038" spans="1:4" ht="30">
      <c r="A4038" s="5" t="str">
        <f>HYPERLINK("https://www.oit.va.gov/Services/TRM/StandardPage.aspx?tid=5387^","Internet Control Message Protocol (ICMP)")</f>
        <v>Internet Control Message Protocol (ICMP)</v>
      </c>
      <c r="B4038" s="4" t="s">
        <v>160</v>
      </c>
      <c r="C4038" s="8" t="s">
        <v>5</v>
      </c>
      <c r="D4038" s="11" t="s">
        <v>8096</v>
      </c>
    </row>
    <row r="4039" spans="1:4" ht="30">
      <c r="A4039" s="5" t="str">
        <f>HYPERLINK("https://www.oit.va.gov/Services/TRM/StandardPage.aspx?tid=5370^","Internet Message Format")</f>
        <v>Internet Message Format</v>
      </c>
      <c r="B4039" s="4" t="s">
        <v>160</v>
      </c>
      <c r="C4039" s="8" t="s">
        <v>5</v>
      </c>
      <c r="D4039" s="11" t="s">
        <v>8096</v>
      </c>
    </row>
    <row r="4040" spans="1:4" ht="30">
      <c r="A4040" s="5" t="str">
        <f>HYPERLINK("https://www.oit.va.gov/Services/TRM/StandardPage.aspx?tid=5385^","Internet Protocol (IP)")</f>
        <v>Internet Protocol (IP)</v>
      </c>
      <c r="B4040" s="4" t="s">
        <v>160</v>
      </c>
      <c r="C4040" s="8" t="s">
        <v>5</v>
      </c>
      <c r="D4040" s="11" t="s">
        <v>2644</v>
      </c>
    </row>
    <row r="4041" spans="1:4" ht="30">
      <c r="A4041" s="5" t="str">
        <f>HYPERLINK("https://www.oit.va.gov/Services/TRM/StandardPage.aspx?tid=5364^","Internet Protocol (IP) Network Address Translation (NAT)")</f>
        <v>Internet Protocol (IP) Network Address Translation (NAT)</v>
      </c>
      <c r="B4041" s="4" t="s">
        <v>160</v>
      </c>
      <c r="C4041" s="8" t="s">
        <v>5</v>
      </c>
      <c r="D4041" s="11" t="s">
        <v>7822</v>
      </c>
    </row>
    <row r="4042" spans="1:4" ht="30">
      <c r="A4042" s="5" t="str">
        <f>HYPERLINK("https://www.oit.va.gov/Services/TRM/StandardPage.aspx?tid=5424^","Internet Protocol Security (IPsec) Transport Mode for Dynamic Routing")</f>
        <v>Internet Protocol Security (IPsec) Transport Mode for Dynamic Routing</v>
      </c>
      <c r="B4042" s="4" t="s">
        <v>160</v>
      </c>
      <c r="C4042" s="8" t="s">
        <v>5</v>
      </c>
      <c r="D4042" s="11" t="s">
        <v>8097</v>
      </c>
    </row>
    <row r="4043" spans="1:4" ht="30">
      <c r="A4043" s="5" t="str">
        <f>HYPERLINK("https://www.oit.va.gov/Services/TRM/StandardPage.aspx?tid=5417^","Internet Protocol version 6 (IPv6) over Point-to-Point Protocol (PPP)")</f>
        <v>Internet Protocol version 6 (IPv6) over Point-to-Point Protocol (PPP)</v>
      </c>
      <c r="B4043" s="4" t="s">
        <v>160</v>
      </c>
      <c r="C4043" s="8" t="s">
        <v>5</v>
      </c>
      <c r="D4043" s="11" t="s">
        <v>7134</v>
      </c>
    </row>
    <row r="4044" spans="1:4" ht="30">
      <c r="A4044" s="5" t="str">
        <f>HYPERLINK("https://www.oit.va.gov/Services/TRM/StandardPage.aspx?tid=5422^","Internet Protocol version 6 (IPv6) Prefix Options for Dynamic Host Configuration Protocol (DHCPv6)")</f>
        <v>Internet Protocol version 6 (IPv6) Prefix Options for Dynamic Host Configuration Protocol (DHCPv6)</v>
      </c>
      <c r="B4044" s="4" t="s">
        <v>160</v>
      </c>
      <c r="C4044" s="8" t="s">
        <v>5</v>
      </c>
      <c r="D4044" s="11" t="s">
        <v>7134</v>
      </c>
    </row>
    <row r="4045" spans="1:4" ht="30">
      <c r="A4045" s="5" t="str">
        <f>HYPERLINK("https://www.oit.va.gov/Services/TRM/StandardPage.aspx?tid=5379^","IPsec-Network Address Translation (NAT)")</f>
        <v>IPsec-Network Address Translation (NAT)</v>
      </c>
      <c r="B4045" s="4" t="s">
        <v>160</v>
      </c>
      <c r="C4045" s="8" t="s">
        <v>5</v>
      </c>
      <c r="D4045" s="11" t="s">
        <v>6723</v>
      </c>
    </row>
    <row r="4046" spans="1:4" ht="30">
      <c r="A4046" s="5" t="str">
        <f>HYPERLINK("https://www.oit.va.gov/Services/TRM/StandardPage.aspx?tid=5425^","IPv6/IPv4 Dual Stack Internet Access Service Model")</f>
        <v>IPv6/IPv4 Dual Stack Internet Access Service Model</v>
      </c>
      <c r="B4046" s="4" t="s">
        <v>160</v>
      </c>
      <c r="C4046" s="8" t="s">
        <v>5</v>
      </c>
      <c r="D4046" s="11" t="s">
        <v>7134</v>
      </c>
    </row>
    <row r="4047" spans="1:4" ht="30">
      <c r="A4047" s="5" t="str">
        <f>HYPERLINK("https://www.oit.va.gov/Services/TRM/StandardPage.aspx?tid=5418^","Network Address Translation - Protocol Translation (NAT-PT)")</f>
        <v>Network Address Translation - Protocol Translation (NAT-PT)</v>
      </c>
      <c r="B4047" s="4" t="s">
        <v>160</v>
      </c>
      <c r="C4047" s="8" t="s">
        <v>5</v>
      </c>
      <c r="D4047" s="11" t="s">
        <v>8329</v>
      </c>
    </row>
    <row r="4048" spans="1:4" ht="30">
      <c r="A4048" s="5" t="str">
        <f>HYPERLINK("https://www.oit.va.gov/Services/TRM/StandardPage.aspx?tid=5371^","Post Office Protocol (POP3)")</f>
        <v>Post Office Protocol (POP3)</v>
      </c>
      <c r="B4048" s="4" t="s">
        <v>160</v>
      </c>
      <c r="C4048" s="8" t="s">
        <v>5</v>
      </c>
      <c r="D4048" s="11" t="s">
        <v>1123</v>
      </c>
    </row>
    <row r="4049" spans="1:4" ht="30">
      <c r="A4049" s="5" t="str">
        <f>HYPERLINK("https://www.oit.va.gov/Services/TRM/StandardPage.aspx?tid=5382^","Secure Remote Access with Layer 2 Tunneling Protocol (L2TP)")</f>
        <v>Secure Remote Access with Layer 2 Tunneling Protocol (L2TP)</v>
      </c>
      <c r="B4049" s="4" t="s">
        <v>160</v>
      </c>
      <c r="C4049" s="8" t="s">
        <v>5</v>
      </c>
      <c r="D4049" s="11" t="s">
        <v>1014</v>
      </c>
    </row>
    <row r="4050" spans="1:4" ht="30">
      <c r="A4050" s="5" t="str">
        <f>HYPERLINK("https://www.oit.va.gov/Services/TRM/StandardPage.aspx?tid=5383^","Securing Layer Two Tunneling Protocol (L2TP) with Internet Protocol Security (IPsec)")</f>
        <v>Securing Layer Two Tunneling Protocol (L2TP) with Internet Protocol Security (IPsec)</v>
      </c>
      <c r="B4050" s="4" t="s">
        <v>160</v>
      </c>
      <c r="C4050" s="8" t="s">
        <v>5</v>
      </c>
      <c r="D4050" s="11" t="s">
        <v>7134</v>
      </c>
    </row>
    <row r="4051" spans="1:4" ht="30">
      <c r="A4051" s="5" t="str">
        <f>HYPERLINK("https://www.oit.va.gov/Services/TRM/StandardPage.aspx?tid=5426^","Security Architecture for the Internet Protocol (IP)")</f>
        <v>Security Architecture for the Internet Protocol (IP)</v>
      </c>
      <c r="B4051" s="4" t="s">
        <v>160</v>
      </c>
      <c r="C4051" s="8" t="s">
        <v>5</v>
      </c>
      <c r="D4051" s="11" t="s">
        <v>7134</v>
      </c>
    </row>
    <row r="4052" spans="1:4" ht="30">
      <c r="A4052" s="5" t="str">
        <f>HYPERLINK("https://www.oit.va.gov/Services/TRM/StandardPage.aspx?tid=5423^","Stateless Dynamic Host Configuration Protocol (DHCPv6)")</f>
        <v>Stateless Dynamic Host Configuration Protocol (DHCPv6)</v>
      </c>
      <c r="B4052" s="4" t="s">
        <v>160</v>
      </c>
      <c r="C4052" s="8" t="s">
        <v>5</v>
      </c>
      <c r="D4052" s="11" t="s">
        <v>7328</v>
      </c>
    </row>
    <row r="4053" spans="1:4" ht="30">
      <c r="A4053" s="5" t="str">
        <f>HYPERLINK("https://www.oit.va.gov/Services/TRM/StandardPage.aspx?tid=5434^","Teredo")</f>
        <v>Teredo</v>
      </c>
      <c r="B4053" s="4" t="s">
        <v>160</v>
      </c>
      <c r="C4053" s="8" t="s">
        <v>5</v>
      </c>
      <c r="D4053" s="11" t="s">
        <v>8797</v>
      </c>
    </row>
    <row r="4054" spans="1:4" ht="30">
      <c r="A4054" s="5" t="str">
        <f>HYPERLINK("https://www.oit.va.gov/Services/TRM/StandardPage.aspx?tid=5365^","Transmission of Internet Protocol (IP) Datagrams over Switched Multi-megabit Data Service (SMDS)")</f>
        <v>Transmission of Internet Protocol (IP) Datagrams over Switched Multi-megabit Data Service (SMDS)</v>
      </c>
      <c r="B4054" s="4" t="s">
        <v>160</v>
      </c>
      <c r="C4054" s="8" t="s">
        <v>5</v>
      </c>
      <c r="D4054" s="11" t="s">
        <v>8291</v>
      </c>
    </row>
    <row r="4055" spans="1:4" ht="30">
      <c r="A4055" s="5" t="str">
        <f>HYPERLINK("https://www.oit.va.gov/Services/TRM/StandardPage.aspx?tid=5388^","User Datagram Protocol (UDP)")</f>
        <v>User Datagram Protocol (UDP)</v>
      </c>
      <c r="B4055" s="4" t="s">
        <v>160</v>
      </c>
      <c r="C4055" s="8" t="s">
        <v>5</v>
      </c>
      <c r="D4055" s="11" t="s">
        <v>4381</v>
      </c>
    </row>
    <row r="4056" spans="1:4" ht="30">
      <c r="A4056" s="5" t="str">
        <f>HYPERLINK("https://www.oit.va.gov/Services/TRM/StandardPage.aspx?tid=8473^","WebSocket Protocol")</f>
        <v>WebSocket Protocol</v>
      </c>
      <c r="B4056" s="4" t="s">
        <v>160</v>
      </c>
      <c r="C4056" s="8" t="s">
        <v>5</v>
      </c>
      <c r="D4056" s="11" t="s">
        <v>5602</v>
      </c>
    </row>
    <row r="4057" spans="1:4" ht="30">
      <c r="A4057" s="5" t="str">
        <f>HYPERLINK("https://www.oit.va.gov/Services/TRM/ToolPage.aspx?tid=11061^","Berkeley Internet Name Domain (BIND)")</f>
        <v>Berkeley Internet Name Domain (BIND)</v>
      </c>
      <c r="B4057" s="4" t="s">
        <v>497</v>
      </c>
      <c r="C4057" s="8" t="s">
        <v>5</v>
      </c>
      <c r="D4057" s="11" t="s">
        <v>498</v>
      </c>
    </row>
    <row r="4058" spans="1:4" ht="30">
      <c r="A4058" s="5" t="str">
        <f>HYPERLINK("https://www.oit.va.gov/Services/TRM/ToolPage.aspx?tid=6013^","Internet Testing Systems (ITS) Secure Browser")</f>
        <v>Internet Testing Systems (ITS) Secure Browser</v>
      </c>
      <c r="B4058" s="4" t="s">
        <v>8098</v>
      </c>
      <c r="C4058" s="8" t="s">
        <v>5</v>
      </c>
      <c r="D4058" s="11" t="s">
        <v>5370</v>
      </c>
    </row>
    <row r="4059" spans="1:4" ht="30">
      <c r="A4059" s="5" t="str">
        <f>HYPERLINK("https://www.oit.va.gov/Services/TRM/ToolPage.aspx?tid=6476^","Snare Agent")</f>
        <v>Snare Agent</v>
      </c>
      <c r="B4059" s="4" t="s">
        <v>2966</v>
      </c>
      <c r="C4059" s="8" t="s">
        <v>5</v>
      </c>
      <c r="D4059" s="11" t="s">
        <v>2175</v>
      </c>
    </row>
    <row r="4060" spans="1:4" ht="30">
      <c r="A4060" s="5" t="str">
        <f>HYPERLINK("https://www.oit.va.gov/Services/TRM/ToolPage.aspx?tid=8686^","HealthShare")</f>
        <v>HealthShare</v>
      </c>
      <c r="B4060" s="4" t="s">
        <v>696</v>
      </c>
      <c r="C4060" s="8" t="s">
        <v>5</v>
      </c>
      <c r="D4060" s="11" t="s">
        <v>697</v>
      </c>
    </row>
    <row r="4061" spans="1:4" ht="30">
      <c r="A4061" s="5" t="str">
        <f>HYPERLINK("https://www.oit.va.gov/Services/TRM/ToolPage.aspx?tid=14907^","Intuitive Reliable Interoperative Scalable (IRIS) for Health")</f>
        <v>Intuitive Reliable Interoperative Scalable (IRIS) for Health</v>
      </c>
      <c r="B4061" s="4" t="s">
        <v>696</v>
      </c>
      <c r="C4061" s="8" t="s">
        <v>5</v>
      </c>
      <c r="D4061" s="11" t="s">
        <v>720</v>
      </c>
    </row>
    <row r="4062" spans="1:4" ht="30">
      <c r="A4062" s="5" t="str">
        <f>HYPERLINK("https://www.oit.va.gov/Services/TRM/ToolPage.aspx?tid=6386^","Cache Server Pages (CSP)")</f>
        <v>Cache Server Pages (CSP)</v>
      </c>
      <c r="B4062" s="4" t="s">
        <v>696</v>
      </c>
      <c r="C4062" s="8" t="s">
        <v>5</v>
      </c>
      <c r="D4062" s="11" t="s">
        <v>1398</v>
      </c>
    </row>
    <row r="4063" spans="1:4" ht="30">
      <c r="A4063" s="5" t="str">
        <f>HYPERLINK("https://www.oit.va.gov/Services/TRM/ToolPage.aspx?tid=6387^","Cache Zen")</f>
        <v>Cache Zen</v>
      </c>
      <c r="B4063" s="4" t="s">
        <v>696</v>
      </c>
      <c r="C4063" s="8" t="s">
        <v>5</v>
      </c>
      <c r="D4063" s="11" t="s">
        <v>2098</v>
      </c>
    </row>
    <row r="4064" spans="1:4" ht="30">
      <c r="A4064" s="5" t="str">
        <f>HYPERLINK("https://www.oit.va.gov/Services/TRM/ToolPage.aspx?tid=16536^","InterSystems Application Programming Interface (API) Manager (IAM)")</f>
        <v>InterSystems Application Programming Interface (API) Manager (IAM)</v>
      </c>
      <c r="B4064" s="4" t="s">
        <v>696</v>
      </c>
      <c r="C4064" s="8" t="s">
        <v>5</v>
      </c>
      <c r="D4064" s="11" t="s">
        <v>2675</v>
      </c>
    </row>
    <row r="4065" spans="1:4" ht="30">
      <c r="A4065" s="5" t="str">
        <f>HYPERLINK("https://www.oit.va.gov/Services/TRM/ToolPage.aspx?tid=10^","Cach&amp;#233;")</f>
        <v>Cach&amp;#233;</v>
      </c>
      <c r="B4065" s="4" t="s">
        <v>696</v>
      </c>
      <c r="C4065" s="8" t="s">
        <v>5</v>
      </c>
      <c r="D4065" s="11" t="s">
        <v>3189</v>
      </c>
    </row>
    <row r="4066" spans="1:4" ht="30">
      <c r="A4066" s="5" t="str">
        <f>HYPERLINK("https://www.oit.va.gov/Services/TRM/ToolPage.aspx?tid=6480^","Cache Java Binding")</f>
        <v>Cache Java Binding</v>
      </c>
      <c r="B4066" s="4" t="s">
        <v>696</v>
      </c>
      <c r="C4066" s="8" t="s">
        <v>5</v>
      </c>
      <c r="D4066" s="11" t="s">
        <v>3190</v>
      </c>
    </row>
    <row r="4067" spans="1:4" ht="30">
      <c r="A4067" s="5" t="str">
        <f>HYPERLINK("https://www.oit.va.gov/Services/TRM/ToolPage.aspx?tid=11543^","Atelier")</f>
        <v>Atelier</v>
      </c>
      <c r="B4067" s="4" t="s">
        <v>696</v>
      </c>
      <c r="C4067" s="8" t="s">
        <v>5</v>
      </c>
      <c r="D4067" s="11" t="s">
        <v>3784</v>
      </c>
    </row>
    <row r="4068" spans="1:4" ht="30">
      <c r="A4068" s="5" t="str">
        <f>HYPERLINK("https://www.oit.va.gov/Services/TRM/ToolPage.aspx?tid=6450^","Ensemble")</f>
        <v>Ensemble</v>
      </c>
      <c r="B4068" s="4" t="s">
        <v>696</v>
      </c>
      <c r="C4068" s="8" t="s">
        <v>5</v>
      </c>
      <c r="D4068" s="11" t="s">
        <v>979</v>
      </c>
    </row>
    <row r="4069" spans="1:4" ht="30">
      <c r="A4069" s="5" t="str">
        <f>HYPERLINK("https://www.oit.va.gov/Services/TRM/ToolPage.aspx?tid=171^","Cache Objects")</f>
        <v>Cache Objects</v>
      </c>
      <c r="B4069" s="4" t="s">
        <v>696</v>
      </c>
      <c r="C4069" s="8" t="s">
        <v>5</v>
      </c>
      <c r="D4069" s="11" t="s">
        <v>3190</v>
      </c>
    </row>
    <row r="4070" spans="1:4" ht="30">
      <c r="A4070" s="5" t="str">
        <f>HYPERLINK("https://www.oit.va.gov/Services/TRM/ToolPage.aspx?tid=170^","Cache Java Database Connectivity (JDBC) Driver")</f>
        <v>Cache Java Database Connectivity (JDBC) Driver</v>
      </c>
      <c r="B4070" s="4" t="s">
        <v>696</v>
      </c>
      <c r="C4070" s="8" t="s">
        <v>5</v>
      </c>
      <c r="D4070" s="11" t="s">
        <v>6376</v>
      </c>
    </row>
    <row r="4071" spans="1:4" ht="30">
      <c r="A4071" s="5" t="str">
        <f>HYPERLINK("https://www.oit.va.gov/Services/TRM/ToolPage.aspx?tid=6409^","Cache Management Portal Structured Query Language (SQL) Interface")</f>
        <v>Cache Management Portal Structured Query Language (SQL) Interface</v>
      </c>
      <c r="B4071" s="4" t="s">
        <v>696</v>
      </c>
      <c r="C4071" s="8" t="s">
        <v>5</v>
      </c>
      <c r="D4071" s="11" t="s">
        <v>6377</v>
      </c>
    </row>
    <row r="4072" spans="1:4" ht="30">
      <c r="A4072" s="5" t="str">
        <f>HYPERLINK("https://www.oit.va.gov/Services/TRM/StandardPage.aspx?tid=6393^","Cache ObjectScript")</f>
        <v>Cache ObjectScript</v>
      </c>
      <c r="B4072" s="4" t="s">
        <v>696</v>
      </c>
      <c r="C4072" s="8" t="s">
        <v>5</v>
      </c>
      <c r="D4072" s="11" t="s">
        <v>2427</v>
      </c>
    </row>
    <row r="4073" spans="1:4" ht="30">
      <c r="A4073" s="5" t="str">
        <f>HYPERLINK("https://www.oit.va.gov/Services/TRM/ToolPage.aspx?tid=5590^","Cache Open Database Connectivity (ODBC) Driver")</f>
        <v>Cache Open Database Connectivity (ODBC) Driver</v>
      </c>
      <c r="B4073" s="4" t="s">
        <v>696</v>
      </c>
      <c r="C4073" s="8" t="s">
        <v>5</v>
      </c>
      <c r="D4073" s="11" t="s">
        <v>209</v>
      </c>
    </row>
    <row r="4074" spans="1:4" ht="30">
      <c r="A4074" s="5" t="str">
        <f>HYPERLINK("https://www.oit.va.gov/Services/TRM/ToolPage.aspx?tid=6394^","Cache Studio")</f>
        <v>Cache Studio</v>
      </c>
      <c r="B4074" s="4" t="s">
        <v>696</v>
      </c>
      <c r="C4074" s="8" t="s">
        <v>5</v>
      </c>
      <c r="D4074" s="11" t="s">
        <v>3190</v>
      </c>
    </row>
    <row r="4075" spans="1:4" ht="30">
      <c r="A4075" s="5" t="str">
        <f>HYPERLINK("https://www.oit.va.gov/Services/TRM/ToolPage.aspx?tid=5633^","Appraise")</f>
        <v>Appraise</v>
      </c>
      <c r="B4075" s="4" t="s">
        <v>7466</v>
      </c>
      <c r="C4075" s="8" t="s">
        <v>5</v>
      </c>
      <c r="D4075" s="11" t="s">
        <v>7467</v>
      </c>
    </row>
    <row r="4076" spans="1:4" ht="30">
      <c r="A4076" s="5" t="str">
        <f>HYPERLINK("https://www.oit.va.gov/Services/TRM/ToolPage.aspx?tid=5634^","CompuFit")</f>
        <v>CompuFit</v>
      </c>
      <c r="B4076" s="4" t="s">
        <v>7466</v>
      </c>
      <c r="C4076" s="8" t="s">
        <v>5</v>
      </c>
      <c r="D4076" s="11" t="s">
        <v>7688</v>
      </c>
    </row>
    <row r="4077" spans="1:4" ht="30">
      <c r="A4077" s="5" t="str">
        <f>HYPERLINK("https://www.oit.va.gov/Services/TRM/ToolPage.aspx?tid=8479^","Power Tools for Tableau Desktop")</f>
        <v>Power Tools for Tableau Desktop</v>
      </c>
      <c r="B4077" s="4" t="s">
        <v>6204</v>
      </c>
      <c r="C4077" s="8" t="s">
        <v>5</v>
      </c>
      <c r="D4077" s="11" t="s">
        <v>6205</v>
      </c>
    </row>
    <row r="4078" spans="1:4" ht="30">
      <c r="A4078" s="5" t="str">
        <f>HYPERLINK("https://www.oit.va.gov/Services/TRM/ToolPage.aspx?tid=10766^","Provider Access Software")</f>
        <v>Provider Access Software</v>
      </c>
      <c r="B4078" s="4" t="s">
        <v>6015</v>
      </c>
      <c r="C4078" s="8" t="s">
        <v>5</v>
      </c>
      <c r="D4078" s="11" t="s">
        <v>3192</v>
      </c>
    </row>
    <row r="4079" spans="1:4" ht="30">
      <c r="A4079" s="5" t="str">
        <f>HYPERLINK("https://www.oit.va.gov/Services/TRM/ToolPage.aspx?tid=14842^","Intrigma")</f>
        <v>Intrigma</v>
      </c>
      <c r="B4079" s="4" t="s">
        <v>5884</v>
      </c>
      <c r="C4079" s="8" t="s">
        <v>5</v>
      </c>
      <c r="D4079" s="11" t="s">
        <v>4428</v>
      </c>
    </row>
    <row r="4080" spans="1:4" ht="30">
      <c r="A4080" s="5" t="str">
        <f>HYPERLINK("https://www.oit.va.gov/Services/TRM/ToolPage.aspx?tid=10784^","VistA Advanced Analytics")</f>
        <v>VistA Advanced Analytics</v>
      </c>
      <c r="B4080" s="4" t="s">
        <v>5578</v>
      </c>
      <c r="C4080" s="8" t="s">
        <v>5</v>
      </c>
      <c r="D4080" s="11" t="s">
        <v>5579</v>
      </c>
    </row>
    <row r="4081" spans="1:4" ht="30">
      <c r="A4081" s="5" t="str">
        <f>HYPERLINK("https://www.oit.va.gov/Services/TRM/ToolPage.aspx?tid=6506^","QuickBooks Desktop Premier")</f>
        <v>QuickBooks Desktop Premier</v>
      </c>
      <c r="B4081" s="4" t="s">
        <v>4693</v>
      </c>
      <c r="C4081" s="8" t="s">
        <v>5</v>
      </c>
      <c r="D4081" s="11" t="s">
        <v>4694</v>
      </c>
    </row>
    <row r="4082" spans="1:4" ht="30">
      <c r="A4082" s="5" t="str">
        <f>HYPERLINK("https://www.oit.va.gov/Services/TRM/ToolPage.aspx?tid=5740^","TurboTax")</f>
        <v>TurboTax</v>
      </c>
      <c r="B4082" s="4" t="s">
        <v>4693</v>
      </c>
      <c r="C4082" s="8" t="s">
        <v>5</v>
      </c>
      <c r="D4082" s="11" t="s">
        <v>8835</v>
      </c>
    </row>
    <row r="4083" spans="1:4" ht="30">
      <c r="A4083" s="5" t="str">
        <f>HYPERLINK("https://www.oit.va.gov/Services/TRM/ToolPage.aspx?tid=15553^","Maestro")</f>
        <v>Maestro</v>
      </c>
      <c r="B4083" s="4" t="s">
        <v>5925</v>
      </c>
      <c r="C4083" s="8" t="s">
        <v>5</v>
      </c>
      <c r="D4083" s="11" t="s">
        <v>802</v>
      </c>
    </row>
    <row r="4084" spans="1:4" ht="30">
      <c r="A4084" s="5" t="str">
        <f>HYPERLINK("https://www.oit.va.gov/Services/TRM/ToolPage.aspx?tid=11451^","Labtrac Enterprise")</f>
        <v>Labtrac Enterprise</v>
      </c>
      <c r="B4084" s="4" t="s">
        <v>430</v>
      </c>
      <c r="C4084" s="8" t="s">
        <v>5</v>
      </c>
      <c r="D4084" s="11" t="s">
        <v>431</v>
      </c>
    </row>
    <row r="4085" spans="1:4" ht="30">
      <c r="A4085" s="5" t="str">
        <f>HYPERLINK("https://www.oit.va.gov/Services/TRM/ToolPage.aspx?tid=15974^","Corridor4DM")</f>
        <v>Corridor4DM</v>
      </c>
      <c r="B4085" s="4" t="s">
        <v>3976</v>
      </c>
      <c r="C4085" s="8" t="s">
        <v>5</v>
      </c>
      <c r="D4085" s="11" t="s">
        <v>595</v>
      </c>
    </row>
    <row r="4086" spans="1:4" ht="30">
      <c r="A4086" s="5" t="str">
        <f>HYPERLINK("https://www.oit.va.gov/Services/TRM/ToolPage.aspx?tid=15288^","ObservSMART")</f>
        <v>ObservSMART</v>
      </c>
      <c r="B4086" s="4" t="s">
        <v>5977</v>
      </c>
      <c r="C4086" s="8" t="s">
        <v>5</v>
      </c>
      <c r="D4086" s="11" t="s">
        <v>207</v>
      </c>
    </row>
    <row r="4087" spans="1:4" ht="30">
      <c r="A4087" s="5" t="str">
        <f>HYPERLINK("https://www.oit.va.gov/Services/TRM/ToolPage.aspx?tid=7601^","ClinCheck Pro")</f>
        <v>ClinCheck Pro</v>
      </c>
      <c r="B4087" s="4" t="s">
        <v>7659</v>
      </c>
      <c r="C4087" s="8" t="s">
        <v>5</v>
      </c>
      <c r="D4087" s="11" t="s">
        <v>2387</v>
      </c>
    </row>
    <row r="4088" spans="1:4" ht="30">
      <c r="A4088" s="5" t="str">
        <f>HYPERLINK("https://www.oit.va.gov/Services/TRM/ToolPage.aspx?tid=14893^","InVita Unique Device Identifier Tracker (UDITracker)")</f>
        <v>InVita Unique Device Identifier Tracker (UDITracker)</v>
      </c>
      <c r="B4088" s="4" t="s">
        <v>721</v>
      </c>
      <c r="C4088" s="8" t="s">
        <v>5</v>
      </c>
      <c r="D4088" s="11" t="s">
        <v>722</v>
      </c>
    </row>
    <row r="4089" spans="1:4" ht="30">
      <c r="A4089" s="5" t="str">
        <f>HYPERLINK("https://www.oit.va.gov/Services/TRM/ToolPage.aspx?tid=10082^","Unique Device Identification (UDI) Tracker")</f>
        <v>Unique Device Identification (UDI) Tracker</v>
      </c>
      <c r="B4089" s="4" t="s">
        <v>721</v>
      </c>
      <c r="C4089" s="8" t="s">
        <v>5</v>
      </c>
      <c r="D4089" s="11" t="s">
        <v>4942</v>
      </c>
    </row>
    <row r="4090" spans="1:4" ht="30">
      <c r="A4090" s="5" t="str">
        <f>HYPERLINK("https://www.oit.va.gov/Services/TRM/ToolPage.aspx?tid=10339^","Dyna Computer Aided Detection (CAD)")</f>
        <v>Dyna Computer Aided Detection (CAD)</v>
      </c>
      <c r="B4090" s="4" t="s">
        <v>1511</v>
      </c>
      <c r="C4090" s="8" t="s">
        <v>5</v>
      </c>
      <c r="D4090" s="11" t="s">
        <v>1512</v>
      </c>
    </row>
    <row r="4091" spans="1:4" ht="30">
      <c r="A4091" s="5" t="str">
        <f>HYPERLINK("https://www.oit.va.gov/Services/TRM/ToolPage.aspx?tid=11178^","Invivo Lung Cancer Screening (LCS)")</f>
        <v>Invivo Lung Cancer Screening (LCS)</v>
      </c>
      <c r="B4091" s="4" t="s">
        <v>1511</v>
      </c>
      <c r="C4091" s="8" t="s">
        <v>5</v>
      </c>
      <c r="D4091" s="11" t="s">
        <v>1665</v>
      </c>
    </row>
    <row r="4092" spans="1:4" ht="30">
      <c r="A4092" s="5" t="str">
        <f>HYPERLINK("https://www.oit.va.gov/Services/TRM/ToolPage.aspx?tid=14191^","DynaSuite Neuro")</f>
        <v>DynaSuite Neuro</v>
      </c>
      <c r="B4092" s="4" t="s">
        <v>1511</v>
      </c>
      <c r="C4092" s="8" t="s">
        <v>5</v>
      </c>
      <c r="D4092" s="11" t="s">
        <v>6556</v>
      </c>
    </row>
    <row r="4093" spans="1:4" ht="30">
      <c r="A4093" s="5" t="str">
        <f>HYPERLINK("https://www.oit.va.gov/Services/TRM/ToolPage.aspx?tid=8413^","InvoTech Uniform System")</f>
        <v>InvoTech Uniform System</v>
      </c>
      <c r="B4093" s="4" t="s">
        <v>5886</v>
      </c>
      <c r="C4093" s="8" t="s">
        <v>5</v>
      </c>
      <c r="D4093" s="11" t="s">
        <v>5887</v>
      </c>
    </row>
    <row r="4094" spans="1:4" ht="30">
      <c r="A4094" s="5" t="str">
        <f>HYPERLINK("https://www.oit.va.gov/Services/TRM/ToolPage.aspx?tid=12903^","IObit Advanced SystemCare")</f>
        <v>IObit Advanced SystemCare</v>
      </c>
      <c r="B4094" s="4" t="s">
        <v>8100</v>
      </c>
      <c r="C4094" s="8" t="s">
        <v>5</v>
      </c>
      <c r="D4094" s="11" t="s">
        <v>6447</v>
      </c>
    </row>
    <row r="4095" spans="1:4" ht="30">
      <c r="A4095" s="5" t="str">
        <f>HYPERLINK("https://www.oit.va.gov/Services/TRM/ToolPage.aspx?tid=12904^","IObit Driver Update")</f>
        <v>IObit Driver Update</v>
      </c>
      <c r="B4095" s="4" t="s">
        <v>8100</v>
      </c>
      <c r="C4095" s="8" t="s">
        <v>5</v>
      </c>
      <c r="D4095" s="11" t="s">
        <v>8101</v>
      </c>
    </row>
    <row r="4096" spans="1:4" ht="30">
      <c r="A4096" s="5" t="str">
        <f>HYPERLINK("https://www.oit.va.gov/Services/TRM/ToolPage.aspx?tid=13127^","Smart Defrag")</f>
        <v>Smart Defrag</v>
      </c>
      <c r="B4096" s="4" t="s">
        <v>8100</v>
      </c>
      <c r="C4096" s="8" t="s">
        <v>5</v>
      </c>
      <c r="D4096" s="11" t="s">
        <v>7290</v>
      </c>
    </row>
    <row r="4097" spans="1:4" ht="30">
      <c r="A4097" s="5" t="str">
        <f>HYPERLINK("https://www.oit.va.gov/Services/TRM/ToolPage.aspx?tid=10393^","Uninstaller")</f>
        <v>Uninstaller</v>
      </c>
      <c r="B4097" s="4" t="s">
        <v>8100</v>
      </c>
      <c r="C4097" s="8" t="s">
        <v>5</v>
      </c>
      <c r="D4097" s="11" t="s">
        <v>8843</v>
      </c>
    </row>
    <row r="4098" spans="1:4" ht="30">
      <c r="A4098" s="5" t="str">
        <f>HYPERLINK("https://www.oit.va.gov/Services/TRM/ToolPage.aspx?tid=13960^","IOPI Report Generator")</f>
        <v>IOPI Report Generator</v>
      </c>
      <c r="B4098" s="4" t="s">
        <v>5888</v>
      </c>
      <c r="C4098" s="8" t="s">
        <v>5</v>
      </c>
      <c r="D4098" s="11" t="s">
        <v>5889</v>
      </c>
    </row>
    <row r="4099" spans="1:4" ht="30">
      <c r="A4099" s="5" t="str">
        <f>HYPERLINK("https://www.oit.va.gov/Services/TRM/ToolPage.aspx?tid=9120^","IOzone")</f>
        <v>IOzone</v>
      </c>
      <c r="B4099" s="4" t="s">
        <v>6727</v>
      </c>
      <c r="C4099" s="8" t="s">
        <v>5</v>
      </c>
      <c r="D4099" s="11" t="s">
        <v>6728</v>
      </c>
    </row>
    <row r="4100" spans="1:4" ht="30">
      <c r="A4100" s="5" t="str">
        <f>HYPERLINK("https://www.oit.va.gov/Services/TRM/ToolPage.aspx?tid=16745^","iperf for Windows")</f>
        <v>iperf for Windows</v>
      </c>
      <c r="B4100" s="4" t="s">
        <v>1666</v>
      </c>
      <c r="C4100" s="8" t="s">
        <v>5</v>
      </c>
      <c r="D4100" s="11" t="s">
        <v>1667</v>
      </c>
    </row>
    <row r="4101" spans="1:4" ht="30">
      <c r="A4101" s="5" t="str">
        <f>HYPERLINK("https://www.oit.va.gov/Services/TRM/ToolPage.aspx?tid=10767^","VI (VideoInsight) MonitorPlus")</f>
        <v>VI (VideoInsight) MonitorPlus</v>
      </c>
      <c r="B4101" s="4" t="s">
        <v>3614</v>
      </c>
      <c r="C4101" s="8" t="s">
        <v>5</v>
      </c>
      <c r="D4101" s="11" t="s">
        <v>3067</v>
      </c>
    </row>
    <row r="4102" spans="1:4" ht="30">
      <c r="A4102" s="5" t="str">
        <f>HYPERLINK("https://www.oit.va.gov/Services/TRM/ToolPage.aspx?tid=14102^","IPV Curator")</f>
        <v>IPV Curator</v>
      </c>
      <c r="B4102" s="4" t="s">
        <v>4283</v>
      </c>
      <c r="C4102" s="8" t="s">
        <v>5</v>
      </c>
      <c r="D4102" s="11" t="s">
        <v>2262</v>
      </c>
    </row>
    <row r="4103" spans="1:4" ht="30">
      <c r="A4103" s="5" t="str">
        <f>HYPERLINK("https://www.oit.va.gov/Services/TRM/ToolPage.aspx?tid=8229^","IPython")</f>
        <v>IPython</v>
      </c>
      <c r="B4103" s="4" t="s">
        <v>6730</v>
      </c>
      <c r="C4103" s="8" t="s">
        <v>5</v>
      </c>
      <c r="D4103" s="11" t="s">
        <v>6731</v>
      </c>
    </row>
    <row r="4104" spans="1:4" ht="30">
      <c r="A4104" s="5" t="str">
        <f>HYPERLINK("https://www.oit.va.gov/Services/TRM/ToolPage.aspx?tid=16630^","EduG")</f>
        <v>EduG</v>
      </c>
      <c r="B4104" s="4" t="s">
        <v>6563</v>
      </c>
      <c r="C4104" s="8" t="s">
        <v>5</v>
      </c>
      <c r="D4104" s="11" t="s">
        <v>6564</v>
      </c>
    </row>
    <row r="4105" spans="1:4" ht="30">
      <c r="A4105" s="5" t="str">
        <f>HYPERLINK("https://www.oit.va.gov/Services/TRM/ToolPage.aspx?tid=15409^","iReasoning MIB Browser")</f>
        <v>iReasoning MIB Browser</v>
      </c>
      <c r="B4105" s="4" t="s">
        <v>6732</v>
      </c>
      <c r="C4105" s="8" t="s">
        <v>5</v>
      </c>
      <c r="D4105" s="11" t="s">
        <v>6733</v>
      </c>
    </row>
    <row r="4106" spans="1:4" ht="30">
      <c r="A4106" s="5" t="str">
        <f>HYPERLINK("https://www.oit.va.gov/Services/TRM/ToolPage.aspx?tid=5636^","IrfanView")</f>
        <v>IrfanView</v>
      </c>
      <c r="B4106" s="4" t="s">
        <v>5264</v>
      </c>
      <c r="C4106" s="8" t="s">
        <v>5</v>
      </c>
      <c r="D4106" s="11" t="s">
        <v>1280</v>
      </c>
    </row>
    <row r="4107" spans="1:4" ht="30">
      <c r="A4107" s="5" t="str">
        <f>HYPERLINK("https://www.oit.va.gov/Services/TRM/ToolPage.aspx?tid=14390^","IRISNotes Air 3")</f>
        <v>IRISNotes Air 3</v>
      </c>
      <c r="B4107" s="4" t="s">
        <v>3346</v>
      </c>
      <c r="C4107" s="8" t="s">
        <v>5</v>
      </c>
      <c r="D4107" s="11" t="s">
        <v>3347</v>
      </c>
    </row>
    <row r="4108" spans="1:4" ht="30">
      <c r="A4108" s="5" t="str">
        <f>HYPERLINK("https://www.oit.va.gov/Services/TRM/ToolPage.aspx?tid=6265^","iRise Reader")</f>
        <v>iRise Reader</v>
      </c>
      <c r="B4108" s="4" t="s">
        <v>2680</v>
      </c>
      <c r="C4108" s="8" t="s">
        <v>5</v>
      </c>
      <c r="D4108" s="11" t="s">
        <v>726</v>
      </c>
    </row>
    <row r="4109" spans="1:4" ht="30">
      <c r="A4109" s="5" t="str">
        <f>HYPERLINK("https://www.oit.va.gov/Services/TRM/ToolPage.aspx?tid=7053^","iRise Definition Center")</f>
        <v>iRise Definition Center</v>
      </c>
      <c r="B4109" s="4" t="s">
        <v>2680</v>
      </c>
      <c r="C4109" s="8" t="s">
        <v>5</v>
      </c>
      <c r="D4109" s="11" t="s">
        <v>8105</v>
      </c>
    </row>
    <row r="4110" spans="1:4" ht="30">
      <c r="A4110" s="5" t="str">
        <f>HYPERLINK("https://www.oit.va.gov/Services/TRM/ToolPage.aspx?tid=15250^","iRound for Patient Experience")</f>
        <v>iRound for Patient Experience</v>
      </c>
      <c r="B4110" s="4" t="s">
        <v>5891</v>
      </c>
      <c r="C4110" s="8" t="s">
        <v>5</v>
      </c>
      <c r="D4110" s="11" t="s">
        <v>760</v>
      </c>
    </row>
    <row r="4111" spans="1:4" ht="30">
      <c r="A4111" s="5" t="str">
        <f>HYPERLINK("https://www.oit.va.gov/Services/TRM/ToolPage.aspx?tid=10383^","ISEC7 EMM Suite")</f>
        <v>ISEC7 EMM Suite</v>
      </c>
      <c r="B4111" s="4" t="s">
        <v>8106</v>
      </c>
      <c r="C4111" s="8" t="s">
        <v>5</v>
      </c>
      <c r="D4111" s="11" t="s">
        <v>7724</v>
      </c>
    </row>
    <row r="4112" spans="1:4" ht="30">
      <c r="A4112" s="5" t="str">
        <f>HYPERLINK("https://www.oit.va.gov/Services/TRM/ToolPage.aspx?tid=6486^","isee Player")</f>
        <v>isee Player</v>
      </c>
      <c r="B4112" s="4" t="s">
        <v>8107</v>
      </c>
      <c r="C4112" s="8" t="s">
        <v>5</v>
      </c>
      <c r="D4112" s="11" t="s">
        <v>759</v>
      </c>
    </row>
    <row r="4113" spans="1:4" ht="30">
      <c r="A4113" s="5" t="str">
        <f>HYPERLINK("https://www.oit.va.gov/Services/TRM/ToolPage.aspx?tid=14592^","SmartLog")</f>
        <v>SmartLog</v>
      </c>
      <c r="B4113" s="4" t="s">
        <v>7153</v>
      </c>
      <c r="C4113" s="8" t="s">
        <v>5</v>
      </c>
      <c r="D4113" s="11" t="s">
        <v>865</v>
      </c>
    </row>
    <row r="4114" spans="1:4" ht="30">
      <c r="A4114" s="5" t="str">
        <f>HYPERLINK("https://www.oit.va.gov/Services/TRM/ToolPage.aspx?tid=11046^","Advanced Remote Monitoring System (ARMS)")</f>
        <v>Advanced Remote Monitoring System (ARMS)</v>
      </c>
      <c r="B4114" s="4" t="s">
        <v>7420</v>
      </c>
      <c r="C4114" s="8" t="s">
        <v>5</v>
      </c>
      <c r="D4114" s="11" t="s">
        <v>3534</v>
      </c>
    </row>
    <row r="4115" spans="1:4" ht="30">
      <c r="A4115" s="5" t="str">
        <f>HYPERLINK("https://www.oit.va.gov/Services/TRM/ToolPage.aspx?tid=14263^","Isensix Guardian")</f>
        <v>Isensix Guardian</v>
      </c>
      <c r="B4115" s="4" t="s">
        <v>7420</v>
      </c>
      <c r="C4115" s="8" t="s">
        <v>5</v>
      </c>
      <c r="D4115" s="11" t="s">
        <v>5828</v>
      </c>
    </row>
    <row r="4116" spans="1:4" ht="30">
      <c r="A4116" s="5" t="str">
        <f>HYPERLINK("https://www.oit.va.gov/Services/TRM/ToolPage.aspx?tid=15665^","ISGUS Zeus X")</f>
        <v>ISGUS Zeus X</v>
      </c>
      <c r="B4116" s="4" t="s">
        <v>5892</v>
      </c>
      <c r="C4116" s="8" t="s">
        <v>5</v>
      </c>
      <c r="D4116" s="11" t="s">
        <v>234</v>
      </c>
    </row>
    <row r="4117" spans="1:4" ht="30">
      <c r="A4117" s="5" t="str">
        <f>HYPERLINK("https://www.oit.va.gov/Services/TRM/ToolPage.aspx?tid=10132^","Infortel Select")</f>
        <v>Infortel Select</v>
      </c>
      <c r="B4117" s="4" t="s">
        <v>221</v>
      </c>
      <c r="C4117" s="8" t="s">
        <v>5</v>
      </c>
      <c r="D4117" s="11" t="s">
        <v>222</v>
      </c>
    </row>
    <row r="4118" spans="1:4" ht="30">
      <c r="A4118" s="5" t="str">
        <f>HYPERLINK("https://www.oit.va.gov/Services/TRM/ToolPage.aspx?tid=16040^","Wave Browser")</f>
        <v>Wave Browser</v>
      </c>
      <c r="B4118" s="4" t="s">
        <v>3628</v>
      </c>
      <c r="C4118" s="8" t="s">
        <v>5</v>
      </c>
      <c r="D4118" s="11" t="s">
        <v>3629</v>
      </c>
    </row>
    <row r="4119" spans="1:4" ht="30">
      <c r="A4119" s="5" t="str">
        <f>HYPERLINK("https://www.oit.va.gov/Services/TRM/ToolPage.aspx?tid=16593^","ISL Light")</f>
        <v>ISL Light</v>
      </c>
      <c r="B4119" s="4" t="s">
        <v>6735</v>
      </c>
      <c r="C4119" s="8" t="s">
        <v>5</v>
      </c>
      <c r="D4119" s="11" t="s">
        <v>6736</v>
      </c>
    </row>
    <row r="4120" spans="1:4" ht="30">
      <c r="A4120" s="5" t="str">
        <f>HYPERLINK("https://www.oit.va.gov/Services/TRM/StandardPage.aspx?tid=5280^","Identification Cards - Integrated Circuit(s) Cards with Contacts")</f>
        <v>Identification Cards - Integrated Circuit(s) Cards with Contacts</v>
      </c>
      <c r="B4120" s="4" t="s">
        <v>1013</v>
      </c>
      <c r="C4120" s="8" t="s">
        <v>5</v>
      </c>
      <c r="D4120" s="11" t="s">
        <v>1014</v>
      </c>
    </row>
    <row r="4121" spans="1:4" ht="30">
      <c r="A4121" s="5" t="str">
        <f>HYPERLINK("https://www.oit.va.gov/Services/TRM/StandardPage.aspx?tid=5188^","Computer Graphics Metafile (CGM)")</f>
        <v>Computer Graphics Metafile (CGM)</v>
      </c>
      <c r="B4121" s="4" t="s">
        <v>1013</v>
      </c>
      <c r="C4121" s="8" t="s">
        <v>5</v>
      </c>
      <c r="D4121" s="11" t="s">
        <v>2350</v>
      </c>
    </row>
    <row r="4122" spans="1:4" ht="30">
      <c r="A4122" s="5" t="str">
        <f>HYPERLINK("https://www.oit.va.gov/Services/TRM/StandardPage.aspx?tid=5249^","Office Open XML")</f>
        <v>Office Open XML</v>
      </c>
      <c r="B4122" s="4" t="s">
        <v>1013</v>
      </c>
      <c r="C4122" s="8" t="s">
        <v>5</v>
      </c>
      <c r="D4122" s="11" t="s">
        <v>2163</v>
      </c>
    </row>
    <row r="4123" spans="1:4" ht="30">
      <c r="A4123" s="5" t="str">
        <f>HYPERLINK("https://www.oit.va.gov/Services/TRM/StandardPage.aspx?tid=5442^","ISO 9314 Fiber Distributed Data Interface (FDDI)")</f>
        <v>ISO 9314 Fiber Distributed Data Interface (FDDI)</v>
      </c>
      <c r="B4123" s="4" t="s">
        <v>1013</v>
      </c>
      <c r="C4123" s="8" t="s">
        <v>5</v>
      </c>
      <c r="D4123" s="11" t="s">
        <v>5265</v>
      </c>
    </row>
    <row r="4124" spans="1:4" ht="45">
      <c r="A4124" s="5" t="str">
        <f>HYPERLINK("https://www.oit.va.gov/Services/TRM/StandardPage.aspx?tid=5376^","ISO/IEEE 11073-20101:2004 Health informatics — Point-of-care medical device communication — Part 20101: Application profiles — Base standard")</f>
        <v>ISO/IEEE 11073-20101:2004 Health informatics — Point-of-care medical device communication — Part 20101: Application profiles — Base standard</v>
      </c>
      <c r="B4124" s="4" t="s">
        <v>1013</v>
      </c>
      <c r="C4124" s="8" t="s">
        <v>5</v>
      </c>
      <c r="D4124" s="11" t="s">
        <v>5266</v>
      </c>
    </row>
    <row r="4125" spans="1:4" ht="45">
      <c r="A4125" s="5" t="str">
        <f>HYPERLINK("https://www.oit.va.gov/Services/TRM/StandardPage.aspx?tid=5209^","ISO/TS 15000-4:2004 Electronic business eXtensible Markup Language (ebXML) — Part 4: Registry services specification (ebRS)")</f>
        <v>ISO/TS 15000-4:2004 Electronic business eXtensible Markup Language (ebXML) — Part 4: Registry services specification (ebRS)</v>
      </c>
      <c r="B4125" s="4" t="s">
        <v>1013</v>
      </c>
      <c r="C4125" s="8" t="s">
        <v>5</v>
      </c>
      <c r="D4125" s="11" t="s">
        <v>5267</v>
      </c>
    </row>
    <row r="4126" spans="1:4" ht="30">
      <c r="A4126" s="5" t="str">
        <f>HYPERLINK("https://www.oit.va.gov/Services/TRM/StandardPage.aspx?tid=5189^","Joint Photographic Experts Group (JPEG)")</f>
        <v>Joint Photographic Experts Group (JPEG)</v>
      </c>
      <c r="B4126" s="4" t="s">
        <v>1013</v>
      </c>
      <c r="C4126" s="8" t="s">
        <v>5</v>
      </c>
      <c r="D4126" s="11" t="s">
        <v>5286</v>
      </c>
    </row>
    <row r="4127" spans="1:4" ht="30">
      <c r="A4127" s="5" t="str">
        <f>HYPERLINK("https://www.oit.va.gov/Services/TRM/StandardPage.aspx?tid=5190^","Joint Photographic Experts Group (JPEG) 2000")</f>
        <v>Joint Photographic Experts Group (JPEG) 2000</v>
      </c>
      <c r="B4127" s="4" t="s">
        <v>1013</v>
      </c>
      <c r="C4127" s="8" t="s">
        <v>5</v>
      </c>
      <c r="D4127" s="11" t="s">
        <v>5287</v>
      </c>
    </row>
    <row r="4128" spans="1:4" ht="30">
      <c r="A4128" s="5" t="str">
        <f>HYPERLINK("https://www.oit.va.gov/Services/TRM/StandardPage.aspx?tid=5185^","Moving Picture Experts Group (MPEG)-1")</f>
        <v>Moving Picture Experts Group (MPEG)-1</v>
      </c>
      <c r="B4128" s="4" t="s">
        <v>1013</v>
      </c>
      <c r="C4128" s="8" t="s">
        <v>5</v>
      </c>
      <c r="D4128" s="11" t="s">
        <v>5367</v>
      </c>
    </row>
    <row r="4129" spans="1:4" ht="30">
      <c r="A4129" s="5" t="str">
        <f>HYPERLINK("https://www.oit.va.gov/Services/TRM/StandardPage.aspx?tid=5186^","Moving Picture Experts Group (MPEG)-2")</f>
        <v>Moving Picture Experts Group (MPEG)-2</v>
      </c>
      <c r="B4129" s="4" t="s">
        <v>1013</v>
      </c>
      <c r="C4129" s="8" t="s">
        <v>5</v>
      </c>
      <c r="D4129" s="11" t="s">
        <v>5367</v>
      </c>
    </row>
    <row r="4130" spans="1:4" ht="30">
      <c r="A4130" s="5" t="str">
        <f>HYPERLINK("https://www.oit.va.gov/Services/TRM/StandardPage.aspx?tid=5240^","Moving Picture Experts Group (MPEG)-4")</f>
        <v>Moving Picture Experts Group (MPEG)-4</v>
      </c>
      <c r="B4130" s="4" t="s">
        <v>1013</v>
      </c>
      <c r="C4130" s="8" t="s">
        <v>5</v>
      </c>
      <c r="D4130" s="11" t="s">
        <v>5367</v>
      </c>
    </row>
    <row r="4131" spans="1:4" ht="30">
      <c r="A4131" s="5" t="str">
        <f>HYPERLINK("https://www.oit.va.gov/Services/TRM/StandardPage.aspx?tid=7344^","Real Time Location Systems (RTLS)")</f>
        <v>Real Time Location Systems (RTLS)</v>
      </c>
      <c r="B4131" s="4" t="s">
        <v>1013</v>
      </c>
      <c r="C4131" s="8" t="s">
        <v>5</v>
      </c>
      <c r="D4131" s="11" t="s">
        <v>1478</v>
      </c>
    </row>
    <row r="4132" spans="1:4" ht="30">
      <c r="A4132" s="5" t="str">
        <f>HYPERLINK("https://www.oit.va.gov/Services/TRM/StandardPage.aspx?tid=5149^","Structured Query Language (SQL)")</f>
        <v>Structured Query Language (SQL)</v>
      </c>
      <c r="B4132" s="4" t="s">
        <v>1013</v>
      </c>
      <c r="C4132" s="8" t="s">
        <v>5</v>
      </c>
      <c r="D4132" s="11" t="s">
        <v>5529</v>
      </c>
    </row>
    <row r="4133" spans="1:4" ht="30">
      <c r="A4133" s="5" t="str">
        <f>HYPERLINK("https://www.oit.va.gov/Services/TRM/StandardPage.aspx?tid=9526^","Health Informatics - Audit trails for Electronic Health Records (EHRs)")</f>
        <v>Health Informatics - Audit trails for Electronic Health Records (EHRs)</v>
      </c>
      <c r="B4133" s="4" t="s">
        <v>1013</v>
      </c>
      <c r="C4133" s="8" t="s">
        <v>5</v>
      </c>
      <c r="D4133" s="11" t="s">
        <v>5843</v>
      </c>
    </row>
    <row r="4134" spans="1:4" ht="30">
      <c r="A4134" s="5" t="str">
        <f>HYPERLINK("https://www.oit.va.gov/Services/TRM/StandardPage.aspx?tid=5342^","Digital Compression and Coding of Continuous-Tone Still Images")</f>
        <v>Digital Compression and Coding of Continuous-Tone Still Images</v>
      </c>
      <c r="B4134" s="4" t="s">
        <v>1013</v>
      </c>
      <c r="C4134" s="8" t="s">
        <v>5</v>
      </c>
      <c r="D4134" s="11" t="s">
        <v>6509</v>
      </c>
    </row>
    <row r="4135" spans="1:4" ht="30">
      <c r="A4135" s="5" t="str">
        <f>HYPERLINK("https://www.oit.va.gov/Services/TRM/StandardPage.aspx?tid=5192^","Portable Network Graphics (PNG)")</f>
        <v>Portable Network Graphics (PNG)</v>
      </c>
      <c r="B4135" s="4" t="s">
        <v>1013</v>
      </c>
      <c r="C4135" s="8" t="s">
        <v>5</v>
      </c>
      <c r="D4135" s="11" t="s">
        <v>7013</v>
      </c>
    </row>
    <row r="4136" spans="1:4" ht="30">
      <c r="A4136" s="5" t="str">
        <f>HYPERLINK("https://www.oit.va.gov/Services/TRM/StandardPage.aspx?tid=6196^","C++ Programming Language")</f>
        <v>C++ Programming Language</v>
      </c>
      <c r="B4136" s="4" t="s">
        <v>1013</v>
      </c>
      <c r="C4136" s="8" t="s">
        <v>5</v>
      </c>
      <c r="D4136" s="11" t="s">
        <v>5727</v>
      </c>
    </row>
    <row r="4137" spans="1:4" ht="45">
      <c r="A4137" s="5" t="str">
        <f>HYPERLINK("https://www.oit.va.gov/Services/TRM/StandardPage.aspx?tid=9531^","Health Informatics - Information Security Management in Health using International Organization for Standardization (ISO)/International Electrotechnical Commission (IEC) 27002")</f>
        <v>Health Informatics - Information Security Management in Health using International Organization for Standardization (ISO)/International Electrotechnical Commission (IEC) 27002</v>
      </c>
      <c r="B4137" s="4" t="s">
        <v>1013</v>
      </c>
      <c r="C4137" s="8" t="s">
        <v>5</v>
      </c>
      <c r="D4137" s="11" t="s">
        <v>6719</v>
      </c>
    </row>
    <row r="4138" spans="1:4" ht="45">
      <c r="A4138" s="5" t="str">
        <f>HYPERLINK("https://www.oit.va.gov/Services/TRM/StandardPage.aspx?tid=8491^","International Organization for Standardization (ISO) 10164-7 Information technology - Open Systems Interconnection - Systems Management: Security alarm reporting function - Part 7")</f>
        <v>International Organization for Standardization (ISO) 10164-7 Information technology - Open Systems Interconnection - Systems Management: Security alarm reporting function - Part 7</v>
      </c>
      <c r="B4138" s="4" t="s">
        <v>1013</v>
      </c>
      <c r="C4138" s="8" t="s">
        <v>5</v>
      </c>
      <c r="D4138" s="11" t="s">
        <v>6905</v>
      </c>
    </row>
    <row r="4139" spans="1:4" ht="60">
      <c r="A4139" s="5" t="str">
        <f>HYPERLINK("https://www.oit.va.gov/Services/TRM/StandardPage.aspx?tid=8492^","International Organization for Standardization (ISO) 10181-7 Information Technology - Open Systems Interconnection - Security Frameworks for Open Systems: Security Audit and Alarms Framework")</f>
        <v>International Organization for Standardization (ISO) 10181-7 Information Technology - Open Systems Interconnection - Security Frameworks for Open Systems: Security Audit and Alarms Framework</v>
      </c>
      <c r="B4139" s="4" t="s">
        <v>1013</v>
      </c>
      <c r="C4139" s="8" t="s">
        <v>5</v>
      </c>
      <c r="D4139" s="11" t="s">
        <v>4962</v>
      </c>
    </row>
    <row r="4140" spans="1:4" ht="45">
      <c r="A4140" s="5" t="str">
        <f>HYPERLINK("https://www.oit.va.gov/Services/TRM/StandardPage.aspx?tid=8493^","International Organization for Standardization (ISO) 27001 Information technology - Security techniques - Information security management systems - Requirements")</f>
        <v>International Organization for Standardization (ISO) 27001 Information technology - Security techniques - Information security management systems - Requirements</v>
      </c>
      <c r="B4140" s="4" t="s">
        <v>1013</v>
      </c>
      <c r="C4140" s="8" t="s">
        <v>5</v>
      </c>
      <c r="D4140" s="11" t="s">
        <v>4962</v>
      </c>
    </row>
    <row r="4141" spans="1:4" ht="30">
      <c r="A4141" s="5" t="str">
        <f>HYPERLINK("https://www.oit.va.gov/Services/TRM/StandardPage.aspx?tid=8236^","International Organization for Standardization (ISO) 639-2: Codes for the Representation of Names of Languages")</f>
        <v>International Organization for Standardization (ISO) 639-2: Codes for the Representation of Names of Languages</v>
      </c>
      <c r="B4141" s="4" t="s">
        <v>1013</v>
      </c>
      <c r="C4141" s="8" t="s">
        <v>5</v>
      </c>
      <c r="D4141" s="11" t="s">
        <v>6719</v>
      </c>
    </row>
    <row r="4142" spans="1:4" ht="30">
      <c r="A4142" s="5" t="str">
        <f>HYPERLINK("https://www.oit.va.gov/Services/TRM/StandardPage.aspx?tid=6402^","Massachusetts General Hospital Utility Multi-Programming System (MUMPS)")</f>
        <v>Massachusetts General Hospital Utility Multi-Programming System (MUMPS)</v>
      </c>
      <c r="B4142" s="4" t="s">
        <v>1013</v>
      </c>
      <c r="C4142" s="8" t="s">
        <v>5</v>
      </c>
      <c r="D4142" s="11" t="s">
        <v>8221</v>
      </c>
    </row>
    <row r="4143" spans="1:4" ht="30">
      <c r="A4143" s="5" t="str">
        <f>HYPERLINK("https://www.oit.va.gov/Services/TRM/StandardPage.aspx?tid=5195^","Open Database Connectivity (ODBC)")</f>
        <v>Open Database Connectivity (ODBC)</v>
      </c>
      <c r="B4143" s="4" t="s">
        <v>1013</v>
      </c>
      <c r="C4143" s="8" t="s">
        <v>5</v>
      </c>
      <c r="D4143" s="11" t="s">
        <v>2825</v>
      </c>
    </row>
    <row r="4144" spans="1:4" ht="30">
      <c r="A4144" s="5" t="str">
        <f>HYPERLINK("https://www.oit.va.gov/Services/TRM/StandardPage.aspx?tid=5247^","Portable Document Format (PDF)")</f>
        <v>Portable Document Format (PDF)</v>
      </c>
      <c r="B4144" s="4" t="s">
        <v>1013</v>
      </c>
      <c r="C4144" s="8" t="s">
        <v>5</v>
      </c>
      <c r="D4144" s="11" t="s">
        <v>3107</v>
      </c>
    </row>
    <row r="4145" spans="1:4" ht="30">
      <c r="A4145" s="5" t="str">
        <f>HYPERLINK("https://www.oit.va.gov/Services/TRM/StandardPage.aspx?tid=6341^","Universal Character Set (UCS)")</f>
        <v>Universal Character Set (UCS)</v>
      </c>
      <c r="B4145" s="4" t="s">
        <v>1013</v>
      </c>
      <c r="C4145" s="8" t="s">
        <v>5</v>
      </c>
      <c r="D4145" s="11" t="s">
        <v>3362</v>
      </c>
    </row>
    <row r="4146" spans="1:4" ht="30">
      <c r="A4146" s="5" t="str">
        <f>HYPERLINK("https://www.oit.va.gov/Services/TRM/ToolPage.aspx?tid=14697^","ISONAS Pure Access Manager")</f>
        <v>ISONAS Pure Access Manager</v>
      </c>
      <c r="B4146" s="4" t="s">
        <v>2266</v>
      </c>
      <c r="C4146" s="8" t="s">
        <v>5</v>
      </c>
      <c r="D4146" s="11" t="s">
        <v>1222</v>
      </c>
    </row>
    <row r="4147" spans="1:4" ht="30">
      <c r="A4147" s="5" t="str">
        <f>HYPERLINK("https://www.oit.va.gov/Services/TRM/ToolPage.aspx?tid=16847^","iSpring")</f>
        <v>iSpring</v>
      </c>
      <c r="B4147" s="4" t="s">
        <v>4286</v>
      </c>
      <c r="C4147" s="8" t="s">
        <v>5</v>
      </c>
      <c r="D4147" s="11" t="s">
        <v>4287</v>
      </c>
    </row>
    <row r="4148" spans="1:4" ht="30">
      <c r="A4148" s="5" t="str">
        <f>HYPERLINK("https://www.oit.va.gov/Services/TRM/ToolPage.aspx?tid=14391^","Istio")</f>
        <v>Istio</v>
      </c>
      <c r="B4148" s="4" t="s">
        <v>4288</v>
      </c>
      <c r="C4148" s="8" t="s">
        <v>5</v>
      </c>
      <c r="D4148" s="11" t="s">
        <v>64</v>
      </c>
    </row>
    <row r="4149" spans="1:4" ht="30">
      <c r="A4149" s="5" t="str">
        <f>HYPERLINK("https://www.oit.va.gov/Services/TRM/ToolPage.aspx?tid=7776^","zzzPAT")</f>
        <v>zzzPAT</v>
      </c>
      <c r="B4149" s="4" t="s">
        <v>2078</v>
      </c>
      <c r="C4149" s="8" t="s">
        <v>5</v>
      </c>
      <c r="D4149" s="11" t="s">
        <v>2079</v>
      </c>
    </row>
    <row r="4150" spans="1:4" ht="30">
      <c r="A4150" s="5" t="str">
        <f>HYPERLINK("https://www.oit.va.gov/Services/TRM/ToolPage.aspx?tid=14332^","RemotePAT (Peripheral Arterial Tone)")</f>
        <v>RemotePAT (Peripheral Arterial Tone)</v>
      </c>
      <c r="B4150" s="4" t="s">
        <v>2078</v>
      </c>
      <c r="C4150" s="8" t="s">
        <v>5</v>
      </c>
      <c r="D4150" s="11" t="s">
        <v>240</v>
      </c>
    </row>
    <row r="4151" spans="1:4" ht="30">
      <c r="A4151" s="5" t="str">
        <f>HYPERLINK("https://www.oit.va.gov/Services/TRM/ToolPage.aspx?tid=11432^","EndoPAT (Peripheral Arterial Tone) 2000")</f>
        <v>EndoPAT (Peripheral Arterial Tone) 2000</v>
      </c>
      <c r="B4151" s="4" t="s">
        <v>2078</v>
      </c>
      <c r="C4151" s="8" t="s">
        <v>5</v>
      </c>
      <c r="D4151" s="11" t="s">
        <v>7861</v>
      </c>
    </row>
    <row r="4152" spans="1:4" ht="30">
      <c r="A4152" s="5" t="str">
        <f>HYPERLINK("https://www.oit.va.gov/Services/TRM/ToolPage.aspx?tid=16860^","Temp-Taker 4")</f>
        <v>Temp-Taker 4</v>
      </c>
      <c r="B4152" s="4" t="s">
        <v>6103</v>
      </c>
      <c r="C4152" s="8" t="s">
        <v>5</v>
      </c>
      <c r="D4152" s="11" t="s">
        <v>6104</v>
      </c>
    </row>
    <row r="4153" spans="1:4" ht="30">
      <c r="A4153" s="5" t="str">
        <f>HYPERLINK("https://www.oit.va.gov/Services/TRM/ToolPage.aspx?tid=14751^","Cyberduck")</f>
        <v>Cyberduck</v>
      </c>
      <c r="B4153" s="4" t="s">
        <v>6475</v>
      </c>
      <c r="C4153" s="8" t="s">
        <v>5</v>
      </c>
      <c r="D4153" s="11" t="s">
        <v>6476</v>
      </c>
    </row>
    <row r="4154" spans="1:4" ht="30">
      <c r="A4154" s="5" t="str">
        <f>HYPERLINK("https://www.oit.va.gov/Services/TRM/ToolPage.aspx?tid=12983^","iTerm2")</f>
        <v>iTerm2</v>
      </c>
      <c r="B4154" s="4" t="s">
        <v>5268</v>
      </c>
      <c r="C4154" s="8" t="s">
        <v>5</v>
      </c>
      <c r="D4154" s="11" t="s">
        <v>5269</v>
      </c>
    </row>
    <row r="4155" spans="1:4" ht="30">
      <c r="A4155" s="5" t="str">
        <f>HYPERLINK("https://www.oit.va.gov/Services/TRM/ToolPage.aspx?tid=224^","iText Core")</f>
        <v>iText Core</v>
      </c>
      <c r="B4155" s="4" t="s">
        <v>1018</v>
      </c>
      <c r="C4155" s="8" t="s">
        <v>5</v>
      </c>
      <c r="D4155" s="11" t="s">
        <v>1019</v>
      </c>
    </row>
    <row r="4156" spans="1:4" ht="30">
      <c r="A4156" s="5" t="str">
        <f>HYPERLINK("https://www.oit.va.gov/Services/TRM/ToolPage.aspx?tid=10403^","Unified Contact Manager (UCM)")</f>
        <v>Unified Contact Manager (UCM)</v>
      </c>
      <c r="B4156" s="4" t="s">
        <v>3592</v>
      </c>
      <c r="C4156" s="8" t="s">
        <v>5</v>
      </c>
      <c r="D4156" s="11" t="s">
        <v>3593</v>
      </c>
    </row>
    <row r="4157" spans="1:4" ht="30">
      <c r="A4157" s="5" t="str">
        <f>HYPERLINK("https://www.oit.va.gov/Services/TRM/StandardPage.aspx?tid=5343^","Control Protocol for Multimedia Communication")</f>
        <v>Control Protocol for Multimedia Communication</v>
      </c>
      <c r="B4157" s="4" t="s">
        <v>2105</v>
      </c>
      <c r="C4157" s="8" t="s">
        <v>5</v>
      </c>
      <c r="D4157" s="11" t="s">
        <v>2106</v>
      </c>
    </row>
    <row r="4158" spans="1:4" ht="30">
      <c r="A4158" s="5" t="str">
        <f>HYPERLINK("https://www.oit.va.gov/Services/TRM/StandardPage.aspx?tid=5338^","Advanced Video Coding for Generic Audiovisual Services")</f>
        <v>Advanced Video Coding for Generic Audiovisual Services</v>
      </c>
      <c r="B4158" s="4" t="s">
        <v>2105</v>
      </c>
      <c r="C4158" s="8" t="s">
        <v>5</v>
      </c>
      <c r="D4158" s="11" t="s">
        <v>3103</v>
      </c>
    </row>
    <row r="4159" spans="1:4" ht="30">
      <c r="A4159" s="5" t="str">
        <f>HYPERLINK("https://www.oit.va.gov/Services/TRM/StandardPage.aspx?tid=5355^","Data Protocols for Multimedia Conferencing")</f>
        <v>Data Protocols for Multimedia Conferencing</v>
      </c>
      <c r="B4159" s="4" t="s">
        <v>2105</v>
      </c>
      <c r="C4159" s="8" t="s">
        <v>5</v>
      </c>
      <c r="D4159" s="11" t="s">
        <v>3107</v>
      </c>
    </row>
    <row r="4160" spans="1:4" ht="30">
      <c r="A4160" s="5" t="str">
        <f>HYPERLINK("https://www.oit.va.gov/Services/TRM/StandardPage.aspx?tid=6566^","Multipoint Application Sharing")</f>
        <v>Multipoint Application Sharing</v>
      </c>
      <c r="B4160" s="4" t="s">
        <v>2105</v>
      </c>
      <c r="C4160" s="8" t="s">
        <v>5</v>
      </c>
      <c r="D4160" s="11" t="s">
        <v>3117</v>
      </c>
    </row>
    <row r="4161" spans="1:4" ht="30">
      <c r="A4161" s="5" t="str">
        <f>HYPERLINK("https://www.oit.va.gov/Services/TRM/StandardPage.aspx?tid=5360^","Multipoint Still Image and Annotation Protocol")</f>
        <v>Multipoint Still Image and Annotation Protocol</v>
      </c>
      <c r="B4161" s="4" t="s">
        <v>2105</v>
      </c>
      <c r="C4161" s="8" t="s">
        <v>5</v>
      </c>
      <c r="D4161" s="11" t="s">
        <v>3118</v>
      </c>
    </row>
    <row r="4162" spans="1:4" ht="30">
      <c r="A4162" s="5" t="str">
        <f>HYPERLINK("https://www.oit.va.gov/Services/TRM/StandardPage.aspx?tid=5353^","Narrow-band Visual Telephone Systems and Terminal Equipment")</f>
        <v>Narrow-band Visual Telephone Systems and Terminal Equipment</v>
      </c>
      <c r="B4162" s="4" t="s">
        <v>2105</v>
      </c>
      <c r="C4162" s="8" t="s">
        <v>5</v>
      </c>
      <c r="D4162" s="11" t="s">
        <v>1255</v>
      </c>
    </row>
    <row r="4163" spans="1:4" ht="30">
      <c r="A4163" s="5" t="str">
        <f>HYPERLINK("https://www.oit.va.gov/Services/TRM/StandardPage.aspx?tid=5357^","Network-specific Data Protocol Stacks for Multimedia Conferencing")</f>
        <v>Network-specific Data Protocol Stacks for Multimedia Conferencing</v>
      </c>
      <c r="B4163" s="4" t="s">
        <v>2105</v>
      </c>
      <c r="C4163" s="8" t="s">
        <v>5</v>
      </c>
      <c r="D4163" s="11" t="s">
        <v>3093</v>
      </c>
    </row>
    <row r="4164" spans="1:4" ht="30">
      <c r="A4164" s="5" t="str">
        <f>HYPERLINK("https://www.oit.va.gov/Services/TRM/StandardPage.aspx?tid=5340^","7 kHz Audio-Coding within 64 kbit/s")</f>
        <v>7 kHz Audio-Coding within 64 kbit/s</v>
      </c>
      <c r="B4164" s="4" t="s">
        <v>2105</v>
      </c>
      <c r="C4164" s="8" t="s">
        <v>5</v>
      </c>
      <c r="D4164" s="11" t="s">
        <v>2818</v>
      </c>
    </row>
    <row r="4165" spans="1:4" ht="30">
      <c r="A4165" s="5" t="str">
        <f>HYPERLINK("https://www.oit.va.gov/Services/TRM/StandardPage.aspx?tid=5352^","Broadband Audiovisual Communication Systems and Terminals")</f>
        <v>Broadband Audiovisual Communication Systems and Terminals</v>
      </c>
      <c r="B4165" s="4" t="s">
        <v>2105</v>
      </c>
      <c r="C4165" s="8" t="s">
        <v>5</v>
      </c>
      <c r="D4165" s="11" t="s">
        <v>3103</v>
      </c>
    </row>
    <row r="4166" spans="1:4" ht="30">
      <c r="A4166" s="5" t="str">
        <f>HYPERLINK("https://www.oit.va.gov/Services/TRM/StandardPage.aspx?tid=5337^","Call Signalling Protocols and Media Stream Packetization")</f>
        <v>Call Signalling Protocols and Media Stream Packetization</v>
      </c>
      <c r="B4166" s="4" t="s">
        <v>2105</v>
      </c>
      <c r="C4166" s="8" t="s">
        <v>5</v>
      </c>
      <c r="D4166" s="11" t="s">
        <v>7605</v>
      </c>
    </row>
    <row r="4167" spans="1:4" ht="30">
      <c r="A4167" s="5" t="str">
        <f>HYPERLINK("https://www.oit.va.gov/Services/TRM/StandardPage.aspx?tid=5341^","Coding of Speech Using Low-Delay Code Excited Linear Prediction")</f>
        <v>Coding of Speech Using Low-Delay Code Excited Linear Prediction</v>
      </c>
      <c r="B4167" s="4" t="s">
        <v>2105</v>
      </c>
      <c r="C4167" s="8" t="s">
        <v>5</v>
      </c>
      <c r="D4167" s="11" t="s">
        <v>7669</v>
      </c>
    </row>
    <row r="4168" spans="1:4" ht="30">
      <c r="A4168" s="5" t="str">
        <f>HYPERLINK("https://www.oit.va.gov/Services/TRM/StandardPage.aspx?tid=5358^","Data Protocols for Multimedia Conferencing - Generic Conference Control")</f>
        <v>Data Protocols for Multimedia Conferencing - Generic Conference Control</v>
      </c>
      <c r="B4168" s="4" t="s">
        <v>2105</v>
      </c>
      <c r="C4168" s="8" t="s">
        <v>5</v>
      </c>
      <c r="D4168" s="11" t="s">
        <v>2113</v>
      </c>
    </row>
    <row r="4169" spans="1:4" ht="30">
      <c r="A4169" s="5" t="str">
        <f>HYPERLINK("https://www.oit.va.gov/Services/TRM/StandardPage.aspx?tid=5351^","Establishing Communication Between Multiple Audiovisual Terminals")</f>
        <v>Establishing Communication Between Multiple Audiovisual Terminals</v>
      </c>
      <c r="B4169" s="4" t="s">
        <v>2105</v>
      </c>
      <c r="C4169" s="8" t="s">
        <v>5</v>
      </c>
      <c r="D4169" s="11" t="s">
        <v>7874</v>
      </c>
    </row>
    <row r="4170" spans="1:4" ht="30">
      <c r="A4170" s="5" t="str">
        <f>HYPERLINK("https://www.oit.va.gov/Services/TRM/StandardPage.aspx?tid=5346^","Frame Structure in Audiovisual Teleservices")</f>
        <v>Frame Structure in Audiovisual Teleservices</v>
      </c>
      <c r="B4170" s="4" t="s">
        <v>2105</v>
      </c>
      <c r="C4170" s="8" t="s">
        <v>5</v>
      </c>
      <c r="D4170" s="11" t="s">
        <v>4111</v>
      </c>
    </row>
    <row r="4171" spans="1:4" ht="30">
      <c r="A4171" s="5" t="str">
        <f>HYPERLINK("https://www.oit.va.gov/Services/TRM/StandardPage.aspx?tid=5348^","Frame-synchronous Control and Indication Signals for Audiovisual Systems")</f>
        <v>Frame-synchronous Control and Indication Signals for Audiovisual Systems</v>
      </c>
      <c r="B4171" s="4" t="s">
        <v>2105</v>
      </c>
      <c r="C4171" s="8" t="s">
        <v>5</v>
      </c>
      <c r="D4171" s="11" t="s">
        <v>4960</v>
      </c>
    </row>
    <row r="4172" spans="1:4" ht="30">
      <c r="A4172" s="5" t="str">
        <f>HYPERLINK("https://www.oit.va.gov/Services/TRM/StandardPage.aspx?tid=5354^","ISDN User-Network Interface Layer 3 Specification for Basic Call Control")</f>
        <v>ISDN User-Network Interface Layer 3 Specification for Basic Call Control</v>
      </c>
      <c r="B4172" s="4" t="s">
        <v>2105</v>
      </c>
      <c r="C4172" s="8" t="s">
        <v>5</v>
      </c>
      <c r="D4172" s="11" t="s">
        <v>7292</v>
      </c>
    </row>
    <row r="4173" spans="1:4" ht="30">
      <c r="A4173" s="5" t="str">
        <f>HYPERLINK("https://www.oit.va.gov/Services/TRM/StandardPage.aspx?tid=5347^","Multiplexing Protocol for Low Bit Rate Multimedia Communication")</f>
        <v>Multiplexing Protocol for Low Bit Rate Multimedia Communication</v>
      </c>
      <c r="B4173" s="4" t="s">
        <v>2105</v>
      </c>
      <c r="C4173" s="8" t="s">
        <v>5</v>
      </c>
      <c r="D4173" s="11" t="s">
        <v>1734</v>
      </c>
    </row>
    <row r="4174" spans="1:4" ht="30">
      <c r="A4174" s="5" t="str">
        <f>HYPERLINK("https://www.oit.va.gov/Services/TRM/StandardPage.aspx?tid=5361^","Multipoint Binary File Transfer Protocol")</f>
        <v>Multipoint Binary File Transfer Protocol</v>
      </c>
      <c r="B4174" s="4" t="s">
        <v>2105</v>
      </c>
      <c r="C4174" s="8" t="s">
        <v>5</v>
      </c>
      <c r="D4174" s="11" t="s">
        <v>8291</v>
      </c>
    </row>
    <row r="4175" spans="1:4" ht="30">
      <c r="A4175" s="5" t="str">
        <f>HYPERLINK("https://www.oit.va.gov/Services/TRM/StandardPage.aspx?tid=5356^","Multipoint Communication Service (MCS) - Service Definition")</f>
        <v>Multipoint Communication Service (MCS) - Service Definition</v>
      </c>
      <c r="B4175" s="4" t="s">
        <v>2105</v>
      </c>
      <c r="C4175" s="8" t="s">
        <v>5</v>
      </c>
      <c r="D4175" s="11" t="s">
        <v>584</v>
      </c>
    </row>
    <row r="4176" spans="1:4" ht="30">
      <c r="A4176" s="5" t="str">
        <f>HYPERLINK("https://www.oit.va.gov/Services/TRM/StandardPage.aspx?tid=5359^","Multipoint Communication Service (MCS) Protocol")</f>
        <v>Multipoint Communication Service (MCS) Protocol</v>
      </c>
      <c r="B4176" s="4" t="s">
        <v>2105</v>
      </c>
      <c r="C4176" s="8" t="s">
        <v>5</v>
      </c>
      <c r="D4176" s="11" t="s">
        <v>584</v>
      </c>
    </row>
    <row r="4177" spans="1:4" ht="30">
      <c r="A4177" s="5" t="str">
        <f>HYPERLINK("https://www.oit.va.gov/Services/TRM/StandardPage.aspx?tid=5349^","Multipoint Control Units for Audiovisual Systems")</f>
        <v>Multipoint Control Units for Audiovisual Systems</v>
      </c>
      <c r="B4177" s="4" t="s">
        <v>2105</v>
      </c>
      <c r="C4177" s="8" t="s">
        <v>5</v>
      </c>
      <c r="D4177" s="11" t="s">
        <v>7605</v>
      </c>
    </row>
    <row r="4178" spans="1:4" ht="30">
      <c r="A4178" s="5" t="str">
        <f>HYPERLINK("https://www.oit.va.gov/Services/TRM/StandardPage.aspx?tid=5345^","Packet-Based Multimedia Communications Systems")</f>
        <v>Packet-Based Multimedia Communications Systems</v>
      </c>
      <c r="B4178" s="4" t="s">
        <v>2105</v>
      </c>
      <c r="C4178" s="8" t="s">
        <v>5</v>
      </c>
      <c r="D4178" s="11" t="s">
        <v>1241</v>
      </c>
    </row>
    <row r="4179" spans="1:4" ht="30">
      <c r="A4179" s="5" t="str">
        <f>HYPERLINK("https://www.oit.va.gov/Services/TRM/StandardPage.aspx?tid=5339^","Pulse Code Modulation (PCM) of Voice Frequencies")</f>
        <v>Pulse Code Modulation (PCM) of Voice Frequencies</v>
      </c>
      <c r="B4179" s="4" t="s">
        <v>2105</v>
      </c>
      <c r="C4179" s="8" t="s">
        <v>5</v>
      </c>
      <c r="D4179" s="11" t="s">
        <v>1241</v>
      </c>
    </row>
    <row r="4180" spans="1:4" ht="30">
      <c r="A4180" s="5" t="str">
        <f>HYPERLINK("https://www.oit.va.gov/Services/TRM/StandardPage.aspx?tid=5350^","System for Establishing Communication Between Audiovisual Terminals")</f>
        <v>System for Establishing Communication Between Audiovisual Terminals</v>
      </c>
      <c r="B4180" s="4" t="s">
        <v>2105</v>
      </c>
      <c r="C4180" s="8" t="s">
        <v>5</v>
      </c>
      <c r="D4180" s="11" t="s">
        <v>8776</v>
      </c>
    </row>
    <row r="4181" spans="1:4" ht="30">
      <c r="A4181" s="5" t="str">
        <f>HYPERLINK("https://www.oit.va.gov/Services/TRM/StandardPage.aspx?tid=5344^","Video Codec for Audiovisual Services")</f>
        <v>Video Codec for Audiovisual Services</v>
      </c>
      <c r="B4181" s="4" t="s">
        <v>2105</v>
      </c>
      <c r="C4181" s="8" t="s">
        <v>5</v>
      </c>
      <c r="D4181" s="11" t="s">
        <v>892</v>
      </c>
    </row>
    <row r="4182" spans="1:4" ht="30">
      <c r="A4182" s="5" t="str">
        <f>HYPERLINK("https://www.oit.va.gov/Services/TRM/ToolPage.aspx?tid=6016^","IZArc")</f>
        <v>IZArc</v>
      </c>
      <c r="B4182" s="4" t="s">
        <v>8113</v>
      </c>
      <c r="C4182" s="8" t="s">
        <v>5</v>
      </c>
      <c r="D4182" s="11" t="s">
        <v>7993</v>
      </c>
    </row>
    <row r="4183" spans="1:4" ht="30">
      <c r="A4183" s="5" t="str">
        <f>HYPERLINK("https://www.oit.va.gov/Services/TRM/ToolPage.aspx?tid=13953^","Ivanti Avalanche")</f>
        <v>Ivanti Avalanche</v>
      </c>
      <c r="B4183" s="4" t="s">
        <v>1668</v>
      </c>
      <c r="C4183" s="8" t="s">
        <v>5</v>
      </c>
      <c r="D4183" s="11" t="s">
        <v>1669</v>
      </c>
    </row>
    <row r="4184" spans="1:4" ht="30">
      <c r="A4184" s="5" t="str">
        <f>HYPERLINK("https://www.oit.va.gov/Services/TRM/ToolPage.aspx?tid=5644^","Endpoint Security Client")</f>
        <v>Endpoint Security Client</v>
      </c>
      <c r="B4184" s="4" t="s">
        <v>1668</v>
      </c>
      <c r="C4184" s="8" t="s">
        <v>5</v>
      </c>
      <c r="D4184" s="11" t="s">
        <v>2549</v>
      </c>
    </row>
    <row r="4185" spans="1:4" ht="30">
      <c r="A4185" s="5" t="str">
        <f>HYPERLINK("https://www.oit.va.gov/Services/TRM/ToolPage.aspx?tid=6023^","Ivanti Endpoint Agent")</f>
        <v>Ivanti Endpoint Agent</v>
      </c>
      <c r="B4185" s="4" t="s">
        <v>1668</v>
      </c>
      <c r="C4185" s="8" t="s">
        <v>5</v>
      </c>
      <c r="D4185" s="11" t="s">
        <v>2630</v>
      </c>
    </row>
    <row r="4186" spans="1:4" ht="30">
      <c r="A4186" s="5" t="str">
        <f>HYPERLINK("https://www.oit.va.gov/Services/TRM/ToolPage.aspx?tid=15611^","Ivanti Security Controls")</f>
        <v>Ivanti Security Controls</v>
      </c>
      <c r="B4186" s="4" t="s">
        <v>1668</v>
      </c>
      <c r="C4186" s="8" t="s">
        <v>5</v>
      </c>
      <c r="D4186" s="11" t="s">
        <v>4289</v>
      </c>
    </row>
    <row r="4187" spans="1:4" ht="30">
      <c r="A4187" s="5" t="str">
        <f>HYPERLINK("https://www.oit.va.gov/Services/TRM/ToolPage.aspx?tid=7248^","Xtraction")</f>
        <v>Xtraction</v>
      </c>
      <c r="B4187" s="4" t="s">
        <v>1668</v>
      </c>
      <c r="C4187" s="8" t="s">
        <v>5</v>
      </c>
      <c r="D4187" s="11" t="s">
        <v>5010</v>
      </c>
    </row>
    <row r="4188" spans="1:4" ht="30">
      <c r="A4188" s="5" t="str">
        <f>HYPERLINK("https://www.oit.va.gov/Services/TRM/ToolPage.aspx?tid=10977^","Ivanti Device Control")</f>
        <v>Ivanti Device Control</v>
      </c>
      <c r="B4188" s="4" t="s">
        <v>1668</v>
      </c>
      <c r="C4188" s="8" t="s">
        <v>5</v>
      </c>
      <c r="D4188" s="11" t="s">
        <v>5270</v>
      </c>
    </row>
    <row r="4189" spans="1:4" ht="30">
      <c r="A4189" s="5" t="str">
        <f>HYPERLINK("https://www.oit.va.gov/Services/TRM/ToolPage.aspx?tid=9112^","Ivanti Application Control")</f>
        <v>Ivanti Application Control</v>
      </c>
      <c r="B4189" s="4" t="s">
        <v>1668</v>
      </c>
      <c r="C4189" s="8" t="s">
        <v>5</v>
      </c>
      <c r="D4189" s="11" t="s">
        <v>2630</v>
      </c>
    </row>
    <row r="4190" spans="1:4" ht="30">
      <c r="A4190" s="5" t="str">
        <f>HYPERLINK("https://www.oit.va.gov/Services/TRM/ToolPage.aspx?tid=8415^","Ivanti Patch")</f>
        <v>Ivanti Patch</v>
      </c>
      <c r="B4190" s="4" t="s">
        <v>1668</v>
      </c>
      <c r="C4190" s="8" t="s">
        <v>5</v>
      </c>
      <c r="D4190" s="11" t="s">
        <v>2644</v>
      </c>
    </row>
    <row r="4191" spans="1:4" ht="30">
      <c r="A4191" s="5" t="str">
        <f>HYPERLINK("https://www.oit.va.gov/Services/TRM/ToolPage.aspx?tid=6497^","Ivanti Performance Manager")</f>
        <v>Ivanti Performance Manager</v>
      </c>
      <c r="B4191" s="4" t="s">
        <v>1668</v>
      </c>
      <c r="C4191" s="8" t="s">
        <v>5</v>
      </c>
      <c r="D4191" s="11" t="s">
        <v>4318</v>
      </c>
    </row>
    <row r="4192" spans="1:4" ht="30">
      <c r="A4192" s="5" t="str">
        <f>HYPERLINK("https://www.oit.va.gov/Services/TRM/ToolPage.aspx?tid=8316^","Lumension Device Control")</f>
        <v>Lumension Device Control</v>
      </c>
      <c r="B4192" s="4" t="s">
        <v>1668</v>
      </c>
      <c r="C4192" s="8" t="s">
        <v>5</v>
      </c>
      <c r="D4192" s="11" t="s">
        <v>6806</v>
      </c>
    </row>
    <row r="4193" spans="1:4" ht="30">
      <c r="A4193" s="5" t="str">
        <f>HYPERLINK("https://www.oit.va.gov/Services/TRM/ToolPage.aspx?tid=6620^","Shavlik")</f>
        <v>Shavlik</v>
      </c>
      <c r="B4193" s="4" t="s">
        <v>1668</v>
      </c>
      <c r="C4193" s="8" t="s">
        <v>5</v>
      </c>
      <c r="D4193" s="11" t="s">
        <v>7137</v>
      </c>
    </row>
    <row r="4194" spans="1:4" ht="30">
      <c r="A4194" s="5" t="str">
        <f>HYPERLINK("https://www.oit.va.gov/Services/TRM/ToolPage.aspx?tid=5557^","Environment Manager")</f>
        <v>Environment Manager</v>
      </c>
      <c r="B4194" s="4" t="s">
        <v>1668</v>
      </c>
      <c r="C4194" s="8" t="s">
        <v>5</v>
      </c>
      <c r="D4194" s="11" t="s">
        <v>7868</v>
      </c>
    </row>
    <row r="4195" spans="1:4" ht="30">
      <c r="A4195" s="5" t="str">
        <f>HYPERLINK("https://www.oit.va.gov/Services/TRM/ToolPage.aspx?tid=8109^","iPass Visitor Management System")</f>
        <v>iPass Visitor Management System</v>
      </c>
      <c r="B4195" s="4" t="s">
        <v>6729</v>
      </c>
      <c r="C4195" s="8" t="s">
        <v>5</v>
      </c>
      <c r="D4195" s="11" t="s">
        <v>5169</v>
      </c>
    </row>
    <row r="4196" spans="1:4" ht="30">
      <c r="A4196" s="5" t="str">
        <f>HYPERLINK("https://www.oit.va.gov/Services/TRM/ToolPage.aspx?tid=11421^","iViews Imaging System")</f>
        <v>iViews Imaging System</v>
      </c>
      <c r="B4196" s="4" t="s">
        <v>2681</v>
      </c>
      <c r="C4196" s="8" t="s">
        <v>5</v>
      </c>
      <c r="D4196" s="11" t="s">
        <v>939</v>
      </c>
    </row>
    <row r="4197" spans="1:4" ht="30">
      <c r="A4197" s="5" t="str">
        <f>HYPERLINK("https://www.oit.va.gov/Services/TRM/ToolPage.aspx?tid=10469^","Classic Shell")</f>
        <v>Classic Shell</v>
      </c>
      <c r="B4197" s="4" t="s">
        <v>6417</v>
      </c>
      <c r="C4197" s="8" t="s">
        <v>5</v>
      </c>
      <c r="D4197" s="11" t="s">
        <v>6219</v>
      </c>
    </row>
    <row r="4198" spans="1:4" ht="30">
      <c r="A4198" s="5" t="str">
        <f>HYPERLINK("https://www.oit.va.gov/Services/TRM/ToolPage.aspx?tid=15939^","ivShopScanner")</f>
        <v>ivShopScanner</v>
      </c>
      <c r="B4198" s="4" t="s">
        <v>5893</v>
      </c>
      <c r="C4198" s="8" t="s">
        <v>5</v>
      </c>
      <c r="D4198" s="11" t="s">
        <v>2549</v>
      </c>
    </row>
    <row r="4199" spans="1:4" ht="30">
      <c r="A4199" s="5" t="str">
        <f>HYPERLINK("https://www.oit.va.gov/Services/TRM/ToolPage.aspx?tid=8721^","Ixia CloudLens")</f>
        <v>Ixia CloudLens</v>
      </c>
      <c r="B4199" s="4" t="s">
        <v>8111</v>
      </c>
      <c r="C4199" s="8" t="s">
        <v>5</v>
      </c>
      <c r="D4199" s="11" t="s">
        <v>8112</v>
      </c>
    </row>
    <row r="4200" spans="1:4" ht="30">
      <c r="A4200" s="5" t="str">
        <f>HYPERLINK("https://www.oit.va.gov/Services/TRM/ToolPage.aspx?tid=13656^","iZotope RX")</f>
        <v>iZotope RX</v>
      </c>
      <c r="B4200" s="4" t="s">
        <v>1670</v>
      </c>
      <c r="C4200" s="8" t="s">
        <v>5</v>
      </c>
      <c r="D4200" s="11" t="s">
        <v>1671</v>
      </c>
    </row>
    <row r="4201" spans="1:4" ht="30">
      <c r="A4201" s="5" t="str">
        <f>HYPERLINK("https://www.oit.va.gov/Services/TRM/ToolPage.aspx?tid=16535^","iZotope Nectar")</f>
        <v>iZotope Nectar</v>
      </c>
      <c r="B4201" s="4" t="s">
        <v>1670</v>
      </c>
      <c r="C4201" s="8" t="s">
        <v>5</v>
      </c>
      <c r="D4201" s="11" t="s">
        <v>3076</v>
      </c>
    </row>
    <row r="4202" spans="1:4" ht="30">
      <c r="A4202" s="5" t="str">
        <f>HYPERLINK("https://www.oit.va.gov/Services/TRM/ToolPage.aspx?tid=16547^","iZotope Neutron")</f>
        <v>iZotope Neutron</v>
      </c>
      <c r="B4202" s="4" t="s">
        <v>1670</v>
      </c>
      <c r="C4202" s="8" t="s">
        <v>5</v>
      </c>
      <c r="D4202" s="11" t="s">
        <v>4293</v>
      </c>
    </row>
    <row r="4203" spans="1:4" ht="30">
      <c r="A4203" s="5" t="str">
        <f>HYPERLINK("https://www.oit.va.gov/Services/TRM/ToolPage.aspx?tid=16172^","iZotope Stratus Three Dimensional (3D)")</f>
        <v>iZotope Stratus Three Dimensional (3D)</v>
      </c>
      <c r="B4203" s="4" t="s">
        <v>1670</v>
      </c>
      <c r="C4203" s="8" t="s">
        <v>5</v>
      </c>
      <c r="D4203" s="11" t="s">
        <v>4294</v>
      </c>
    </row>
    <row r="4204" spans="1:4" ht="30">
      <c r="A4204" s="5" t="str">
        <f>HYPERLINK("https://www.oit.va.gov/Services/TRM/ToolPage.aspx?tid=16173^","iZotope Symphony Three Dimensional (3D)")</f>
        <v>iZotope Symphony Three Dimensional (3D)</v>
      </c>
      <c r="B4204" s="4" t="s">
        <v>1670</v>
      </c>
      <c r="C4204" s="8" t="s">
        <v>5</v>
      </c>
      <c r="D4204" s="11" t="s">
        <v>2466</v>
      </c>
    </row>
    <row r="4205" spans="1:4" ht="30">
      <c r="A4205" s="5" t="str">
        <f>HYPERLINK("https://www.oit.va.gov/Services/TRM/ToolPage.aspx?tid=16543^","iZotope Tonal Balance Control")</f>
        <v>iZotope Tonal Balance Control</v>
      </c>
      <c r="B4205" s="4" t="s">
        <v>1670</v>
      </c>
      <c r="C4205" s="8" t="s">
        <v>5</v>
      </c>
      <c r="D4205" s="11" t="s">
        <v>4295</v>
      </c>
    </row>
    <row r="4206" spans="1:4" ht="30">
      <c r="A4206" s="5" t="str">
        <f>HYPERLINK("https://www.oit.va.gov/Services/TRM/ToolPage.aspx?tid=16545^","iZotope Insight")</f>
        <v>iZotope Insight</v>
      </c>
      <c r="B4206" s="4" t="s">
        <v>1670</v>
      </c>
      <c r="C4206" s="8" t="s">
        <v>5</v>
      </c>
      <c r="D4206" s="11" t="s">
        <v>5894</v>
      </c>
    </row>
    <row r="4207" spans="1:4" ht="30">
      <c r="A4207" s="5" t="str">
        <f>HYPERLINK("https://www.oit.va.gov/Services/TRM/ToolPage.aspx?tid=16544^","iZotope Relay")</f>
        <v>iZotope Relay</v>
      </c>
      <c r="B4207" s="4" t="s">
        <v>1670</v>
      </c>
      <c r="C4207" s="8" t="s">
        <v>5</v>
      </c>
      <c r="D4207" s="11" t="s">
        <v>4295</v>
      </c>
    </row>
    <row r="4208" spans="1:4" ht="30">
      <c r="A4208" s="5" t="str">
        <f>HYPERLINK("https://www.oit.va.gov/Services/TRM/ToolPage.aspx?tid=16546^","iZotope Dialogue Match")</f>
        <v>iZotope Dialogue Match</v>
      </c>
      <c r="B4208" s="4" t="s">
        <v>1670</v>
      </c>
      <c r="C4208" s="8" t="s">
        <v>5</v>
      </c>
      <c r="D4208" s="11" t="s">
        <v>4293</v>
      </c>
    </row>
    <row r="4209" spans="1:4" ht="30">
      <c r="A4209" s="5" t="str">
        <f>HYPERLINK("https://www.oit.va.gov/Services/TRM/ToolPage.aspx?tid=5120^","MetaHelper")</f>
        <v>MetaHelper</v>
      </c>
      <c r="B4209" s="4" t="s">
        <v>8253</v>
      </c>
      <c r="C4209" s="8" t="s">
        <v>5</v>
      </c>
      <c r="D4209" s="11" t="s">
        <v>8254</v>
      </c>
    </row>
    <row r="4210" spans="1:4" ht="30">
      <c r="A4210" s="5" t="str">
        <f>HYPERLINK("https://www.oit.va.gov/Services/TRM/ToolPage.aspx?tid=16529^","J2 Settings Framework")</f>
        <v>J2 Settings Framework</v>
      </c>
      <c r="B4210" s="4" t="s">
        <v>4296</v>
      </c>
      <c r="C4210" s="8" t="s">
        <v>5</v>
      </c>
      <c r="D4210" s="11" t="s">
        <v>1864</v>
      </c>
    </row>
    <row r="4211" spans="1:4" ht="30">
      <c r="A4211" s="5" t="str">
        <f>HYPERLINK("https://www.oit.va.gov/Services/TRM/ToolPage.aspx?tid=10495^","Jabra Direct")</f>
        <v>Jabra Direct</v>
      </c>
      <c r="B4211" s="4" t="s">
        <v>4297</v>
      </c>
      <c r="C4211" s="8" t="s">
        <v>5</v>
      </c>
      <c r="D4211" s="11" t="s">
        <v>4298</v>
      </c>
    </row>
    <row r="4212" spans="1:4" ht="30">
      <c r="A4212" s="5" t="str">
        <f>HYPERLINK("https://www.oit.va.gov/Services/TRM/ToolPage.aspx?tid=11422^","JabRef")</f>
        <v>JabRef</v>
      </c>
      <c r="B4212" s="4" t="s">
        <v>8114</v>
      </c>
      <c r="C4212" s="8" t="s">
        <v>5</v>
      </c>
      <c r="D4212" s="11" t="s">
        <v>2026</v>
      </c>
    </row>
    <row r="4213" spans="1:4" ht="30">
      <c r="A4213" s="5" t="str">
        <f>HYPERLINK("https://www.oit.va.gov/Services/TRM/ToolPage.aspx?tid=6554^","Synergy Batch Document Recognition (BDR)")</f>
        <v>Synergy Batch Document Recognition (BDR)</v>
      </c>
      <c r="B4213" s="4" t="s">
        <v>5543</v>
      </c>
      <c r="C4213" s="8" t="s">
        <v>5</v>
      </c>
      <c r="D4213" s="11" t="s">
        <v>5544</v>
      </c>
    </row>
    <row r="4214" spans="1:4" ht="30">
      <c r="A4214" s="5" t="str">
        <f>HYPERLINK("https://www.oit.va.gov/Services/TRM/ToolPage.aspx?tid=6553^","Synergy Document Management")</f>
        <v>Synergy Document Management</v>
      </c>
      <c r="B4214" s="4" t="s">
        <v>5543</v>
      </c>
      <c r="C4214" s="8" t="s">
        <v>5</v>
      </c>
      <c r="D4214" s="11" t="s">
        <v>5544</v>
      </c>
    </row>
    <row r="4215" spans="1:4" ht="30">
      <c r="A4215" s="5" t="str">
        <f>HYPERLINK("https://www.oit.va.gov/Services/TRM/ToolPage.aspx?tid=6555^","Synergy Reports")</f>
        <v>Synergy Reports</v>
      </c>
      <c r="B4215" s="4" t="s">
        <v>5543</v>
      </c>
      <c r="C4215" s="8" t="s">
        <v>5</v>
      </c>
      <c r="D4215" s="11" t="s">
        <v>8773</v>
      </c>
    </row>
    <row r="4216" spans="1:4" ht="30">
      <c r="A4216" s="5" t="str">
        <f>HYPERLINK("https://www.oit.va.gov/Services/TRM/ToolPage.aspx?tid=11270^","Gulp-Nodemon")</f>
        <v>Gulp-Nodemon</v>
      </c>
      <c r="B4216" s="4" t="s">
        <v>8008</v>
      </c>
      <c r="C4216" s="8" t="s">
        <v>5</v>
      </c>
      <c r="D4216" s="11" t="s">
        <v>5811</v>
      </c>
    </row>
    <row r="4217" spans="1:4" ht="30">
      <c r="A4217" s="5" t="str">
        <f>HYPERLINK("https://www.oit.va.gov/Services/TRM/ToolPage.aspx?tid=8081^","JAX Colony Management System (JCMS)")</f>
        <v>JAX Colony Management System (JCMS)</v>
      </c>
      <c r="B4217" s="4" t="s">
        <v>8123</v>
      </c>
      <c r="C4217" s="8" t="s">
        <v>5</v>
      </c>
      <c r="D4217" s="11" t="s">
        <v>3027</v>
      </c>
    </row>
    <row r="4218" spans="1:4" ht="30">
      <c r="A4218" s="5" t="str">
        <f>HYPERLINK("https://www.oit.va.gov/Services/TRM/ToolPage.aspx?tid=15515^","Apricot")</f>
        <v>Apricot</v>
      </c>
      <c r="B4218" s="4" t="s">
        <v>7468</v>
      </c>
      <c r="C4218" s="8" t="s">
        <v>5</v>
      </c>
      <c r="D4218" s="11" t="s">
        <v>2086</v>
      </c>
    </row>
    <row r="4219" spans="1:4" ht="30">
      <c r="A4219" s="5" t="str">
        <f>HYPERLINK("https://www.oit.va.gov/Services/TRM/ToolPage.aspx?tid=13162^","Jagacy 3270")</f>
        <v>Jagacy 3270</v>
      </c>
      <c r="B4219" s="4" t="s">
        <v>5895</v>
      </c>
      <c r="C4219" s="8" t="s">
        <v>5</v>
      </c>
      <c r="D4219" s="11" t="s">
        <v>5320</v>
      </c>
    </row>
    <row r="4220" spans="1:4" ht="30">
      <c r="A4220" s="5" t="str">
        <f>HYPERLINK("https://www.oit.va.gov/Services/TRM/ToolPage.aspx?tid=5469^","TreeSize")</f>
        <v>TreeSize</v>
      </c>
      <c r="B4220" s="4" t="s">
        <v>3034</v>
      </c>
      <c r="C4220" s="8" t="s">
        <v>5</v>
      </c>
      <c r="D4220" s="11" t="s">
        <v>1996</v>
      </c>
    </row>
    <row r="4221" spans="1:4" ht="30">
      <c r="A4221" s="5" t="str">
        <f>HYPERLINK("https://www.oit.va.gov/Services/TRM/ToolPage.aspx?tid=16676^","Treesize Free")</f>
        <v>Treesize Free</v>
      </c>
      <c r="B4221" s="4" t="s">
        <v>3034</v>
      </c>
      <c r="C4221" s="8" t="s">
        <v>5</v>
      </c>
      <c r="D4221" s="11" t="s">
        <v>7245</v>
      </c>
    </row>
    <row r="4222" spans="1:4" ht="30">
      <c r="A4222" s="5" t="str">
        <f>HYPERLINK("https://www.oit.va.gov/Services/TRM/ToolPage.aspx?tid=8870^","Health Level 7 (HL7) Application Programming Interface (API) (HAPI)- Fast Healthcare Interoperable Resources (FHIR)")</f>
        <v>Health Level 7 (HL7) Application Programming Interface (API) (HAPI)- Fast Healthcare Interoperable Resources (FHIR)</v>
      </c>
      <c r="B4222" s="4" t="s">
        <v>4213</v>
      </c>
      <c r="C4222" s="8" t="s">
        <v>5</v>
      </c>
      <c r="D4222" s="11" t="s">
        <v>930</v>
      </c>
    </row>
    <row r="4223" spans="1:4" ht="30">
      <c r="A4223" s="5" t="str">
        <f>HYPERLINK("https://www.oit.va.gov/Services/TRM/ToolPage.aspx?tid=6866^","Fluent NHibernate")</f>
        <v>Fluent NHibernate</v>
      </c>
      <c r="B4223" s="4" t="s">
        <v>4142</v>
      </c>
      <c r="C4223" s="8" t="s">
        <v>5</v>
      </c>
      <c r="D4223" s="11" t="s">
        <v>2827</v>
      </c>
    </row>
    <row r="4224" spans="1:4" ht="30">
      <c r="A4224" s="5" t="str">
        <f>HYPERLINK("https://www.oit.va.gov/Services/TRM/ToolPage.aspx?tid=16443^","Windsor Probe")</f>
        <v>Windsor Probe</v>
      </c>
      <c r="B4224" s="4" t="s">
        <v>2062</v>
      </c>
      <c r="C4224" s="8" t="s">
        <v>5</v>
      </c>
      <c r="D4224" s="11" t="s">
        <v>2063</v>
      </c>
    </row>
    <row r="4225" spans="1:4" ht="30">
      <c r="A4225" s="5" t="str">
        <f>HYPERLINK("https://www.oit.va.gov/Services/TRM/ToolPage.aspx?tid=8697^","eQuest")</f>
        <v>eQuest</v>
      </c>
      <c r="B4225" s="4" t="s">
        <v>300</v>
      </c>
      <c r="C4225" s="8" t="s">
        <v>5</v>
      </c>
      <c r="D4225" s="11" t="s">
        <v>301</v>
      </c>
    </row>
    <row r="4226" spans="1:4" ht="30">
      <c r="A4226" s="5" t="str">
        <f>HYPERLINK("https://www.oit.va.gov/Services/TRM/ToolPage.aspx?tid=9143^","JavaBeans Open Source Software (JBoss) Logging Framework")</f>
        <v>JavaBeans Open Source Software (JBoss) Logging Framework</v>
      </c>
      <c r="B4226" s="4" t="s">
        <v>2688</v>
      </c>
      <c r="C4226" s="8" t="s">
        <v>5</v>
      </c>
      <c r="D4226" s="11" t="s">
        <v>806</v>
      </c>
    </row>
    <row r="4227" spans="1:4" ht="30">
      <c r="A4227" s="5" t="str">
        <f>HYPERLINK("https://www.oit.va.gov/Services/TRM/ToolPage.aspx?tid=11497^","jmespath.js")</f>
        <v>jmespath.js</v>
      </c>
      <c r="B4227" s="4" t="s">
        <v>1234</v>
      </c>
      <c r="C4227" s="8" t="s">
        <v>5</v>
      </c>
      <c r="D4227" s="11" t="s">
        <v>1049</v>
      </c>
    </row>
    <row r="4228" spans="1:4" ht="30">
      <c r="A4228" s="5" t="str">
        <f>HYPERLINK("https://www.oit.va.gov/Services/TRM/ToolPage.aspx?tid=12992^","hawtio")</f>
        <v>hawtio</v>
      </c>
      <c r="B4228" s="4" t="s">
        <v>6684</v>
      </c>
      <c r="C4228" s="8" t="s">
        <v>5</v>
      </c>
      <c r="D4228" s="11" t="s">
        <v>6685</v>
      </c>
    </row>
    <row r="4229" spans="1:4" ht="30">
      <c r="A4229" s="5" t="str">
        <f>HYPERLINK("https://www.oit.va.gov/Services/TRM/ToolPage.aspx?tid=10180^","Base64-JS")</f>
        <v>Base64-JS</v>
      </c>
      <c r="B4229" s="4" t="s">
        <v>7536</v>
      </c>
      <c r="C4229" s="8" t="s">
        <v>5</v>
      </c>
      <c r="D4229" s="11" t="s">
        <v>2386</v>
      </c>
    </row>
    <row r="4230" spans="1:4" ht="30">
      <c r="A4230" s="5" t="str">
        <f>HYPERLINK("https://www.oit.va.gov/Services/TRM/ToolPage.aspx?tid=10822^","Jamf Pro")</f>
        <v>Jamf Pro</v>
      </c>
      <c r="B4230" s="4" t="s">
        <v>5273</v>
      </c>
      <c r="C4230" s="8" t="s">
        <v>5</v>
      </c>
      <c r="D4230" s="11" t="s">
        <v>5274</v>
      </c>
    </row>
    <row r="4231" spans="1:4" ht="30">
      <c r="A4231" s="5" t="str">
        <f>HYPERLINK("https://www.oit.va.gov/Services/TRM/ToolPage.aspx?tid=15396^","Jamovi")</f>
        <v>Jamovi</v>
      </c>
      <c r="B4231" s="4" t="s">
        <v>6741</v>
      </c>
      <c r="C4231" s="8" t="s">
        <v>5</v>
      </c>
      <c r="D4231" s="11" t="s">
        <v>1032</v>
      </c>
    </row>
    <row r="4232" spans="1:4" ht="30">
      <c r="A4232" s="5" t="str">
        <f>HYPERLINK("https://www.oit.va.gov/Services/TRM/ToolPage.aspx?tid=8134^","Passport OAuth Libraries")</f>
        <v>Passport OAuth Libraries</v>
      </c>
      <c r="B4232" s="4" t="s">
        <v>5412</v>
      </c>
      <c r="C4232" s="8" t="s">
        <v>5</v>
      </c>
      <c r="D4232" s="11" t="s">
        <v>1185</v>
      </c>
    </row>
    <row r="4233" spans="1:4" ht="30">
      <c r="A4233" s="5" t="str">
        <f>HYPERLINK("https://www.oit.va.gov/Services/TRM/ToolPage.aspx?tid=7516^","Jaspersoft Studio")</f>
        <v>Jaspersoft Studio</v>
      </c>
      <c r="B4233" s="4" t="s">
        <v>4300</v>
      </c>
      <c r="C4233" s="8" t="s">
        <v>5</v>
      </c>
      <c r="D4233" s="11" t="s">
        <v>4301</v>
      </c>
    </row>
    <row r="4234" spans="1:4" ht="30">
      <c r="A4234" s="5" t="str">
        <f>HYPERLINK("https://www.oit.va.gov/Services/TRM/ToolPage.aspx?tid=6646^","iReport Designer")</f>
        <v>iReport Designer</v>
      </c>
      <c r="B4234" s="4" t="s">
        <v>4300</v>
      </c>
      <c r="C4234" s="8" t="s">
        <v>5</v>
      </c>
      <c r="D4234" s="11" t="s">
        <v>6734</v>
      </c>
    </row>
    <row r="4235" spans="1:4" ht="30">
      <c r="A4235" s="5" t="str">
        <f>HYPERLINK("https://www.oit.va.gov/Services/TRM/ToolPage.aspx?tid=13865^","Jeffrey`s Amazing Statistics Program (JASP)")</f>
        <v>Jeffrey`s Amazing Statistics Program (JASP)</v>
      </c>
      <c r="B4235" s="4" t="s">
        <v>6748</v>
      </c>
      <c r="C4235" s="8" t="s">
        <v>5</v>
      </c>
      <c r="D4235" s="11" t="s">
        <v>4206</v>
      </c>
    </row>
    <row r="4236" spans="1:4" ht="30">
      <c r="A4236" s="5" t="str">
        <f>HYPERLINK("https://www.oit.va.gov/Services/TRM/ToolPage.aspx?tid=10141^","Java Uninstall Tool")</f>
        <v>Java Uninstall Tool</v>
      </c>
      <c r="B4236" s="4" t="s">
        <v>5277</v>
      </c>
      <c r="C4236" s="8" t="s">
        <v>5</v>
      </c>
      <c r="D4236" s="11" t="s">
        <v>5278</v>
      </c>
    </row>
    <row r="4237" spans="1:4" ht="30">
      <c r="A4237" s="5" t="str">
        <f>HYPERLINK("https://www.oit.va.gov/Services/TRM/StandardPage.aspx?tid=8334^","Java Specification Requests JSR 286: Portlet Specification 2.0")</f>
        <v>Java Specification Requests JSR 286: Portlet Specification 2.0</v>
      </c>
      <c r="B4237" s="4" t="s">
        <v>2685</v>
      </c>
      <c r="C4237" s="8" t="s">
        <v>5</v>
      </c>
      <c r="D4237" s="11" t="s">
        <v>2686</v>
      </c>
    </row>
    <row r="4238" spans="1:4" ht="30">
      <c r="A4238" s="5" t="str">
        <f>HYPERLINK("https://www.oit.va.gov/Services/TRM/StandardPage.aspx?tid=232^","Java Metadata Interface (JMI)")</f>
        <v>Java Metadata Interface (JMI)</v>
      </c>
      <c r="B4238" s="4" t="s">
        <v>2685</v>
      </c>
      <c r="C4238" s="8" t="s">
        <v>5</v>
      </c>
      <c r="D4238" s="11" t="s">
        <v>8119</v>
      </c>
    </row>
    <row r="4239" spans="1:4" ht="30">
      <c r="A4239" s="5" t="str">
        <f>HYPERLINK("https://www.oit.va.gov/Services/TRM/StandardPage.aspx?tid=13059^","Java Persistence Application Programming Interface (API)")</f>
        <v>Java Persistence Application Programming Interface (API)</v>
      </c>
      <c r="B4239" s="4" t="s">
        <v>2685</v>
      </c>
      <c r="C4239" s="8" t="s">
        <v>5</v>
      </c>
      <c r="D4239" s="11" t="s">
        <v>2692</v>
      </c>
    </row>
    <row r="4240" spans="1:4" ht="30">
      <c r="A4240" s="5" t="str">
        <f>HYPERLINK("https://www.oit.va.gov/Services/TRM/ToolPage.aspx?tid=6704^","Java Decompiler (JD)")</f>
        <v>Java Decompiler (JD)</v>
      </c>
      <c r="B4240" s="4" t="s">
        <v>727</v>
      </c>
      <c r="C4240" s="8" t="s">
        <v>5</v>
      </c>
      <c r="D4240" s="11" t="s">
        <v>728</v>
      </c>
    </row>
    <row r="4241" spans="1:4" ht="30">
      <c r="A4241" s="5" t="str">
        <f>HYPERLINK("https://www.oit.va.gov/Services/TRM/ToolPage.aspx?tid=7463^","SenseWear Software")</f>
        <v>SenseWear Software</v>
      </c>
      <c r="B4241" s="4" t="s">
        <v>8617</v>
      </c>
      <c r="C4241" s="8" t="s">
        <v>5</v>
      </c>
      <c r="D4241" s="11" t="s">
        <v>8618</v>
      </c>
    </row>
    <row r="4242" spans="1:4" ht="30">
      <c r="A4242" s="5" t="str">
        <f>HYPERLINK("https://www.oit.va.gov/Services/TRM/ToolPage.aspx?tid=5003^","Drools")</f>
        <v>Drools</v>
      </c>
      <c r="B4242" s="4" t="s">
        <v>1504</v>
      </c>
      <c r="C4242" s="8" t="s">
        <v>5</v>
      </c>
      <c r="D4242" s="11" t="s">
        <v>1505</v>
      </c>
    </row>
    <row r="4243" spans="1:4" ht="30">
      <c r="A4243" s="5" t="str">
        <f>HYPERLINK("https://www.oit.va.gov/Services/TRM/ToolPage.aspx?tid=9144^","JavaBeans Open Source Software (JBoss) Logging Tools")</f>
        <v>JavaBeans Open Source Software (JBoss) Logging Tools</v>
      </c>
      <c r="B4243" s="4" t="s">
        <v>1504</v>
      </c>
      <c r="C4243" s="8" t="s">
        <v>5</v>
      </c>
      <c r="D4243" s="11" t="s">
        <v>2689</v>
      </c>
    </row>
    <row r="4244" spans="1:4" ht="30">
      <c r="A4244" s="5" t="str">
        <f>HYPERLINK("https://www.oit.va.gov/Services/TRM/ToolPage.aspx?tid=9178^","JBoss Java Transaction Application Programming Interface (JTA)")</f>
        <v>JBoss Java Transaction Application Programming Interface (JTA)</v>
      </c>
      <c r="B4244" s="4" t="s">
        <v>1504</v>
      </c>
      <c r="C4244" s="8" t="s">
        <v>5</v>
      </c>
      <c r="D4244" s="11" t="s">
        <v>2690</v>
      </c>
    </row>
    <row r="4245" spans="1:4" ht="30">
      <c r="A4245" s="5" t="str">
        <f>HYPERLINK("https://www.oit.va.gov/Services/TRM/ToolPage.aspx?tid=16827^","XNIO")</f>
        <v>XNIO</v>
      </c>
      <c r="B4245" s="4" t="s">
        <v>1504</v>
      </c>
      <c r="C4245" s="8" t="s">
        <v>5</v>
      </c>
      <c r="D4245" s="11" t="s">
        <v>772</v>
      </c>
    </row>
    <row r="4246" spans="1:4" ht="30">
      <c r="A4246" s="5" t="str">
        <f>HYPERLINK("https://www.oit.va.gov/Services/TRM/ToolPage.aspx?tid=7474^","Shinken")</f>
        <v>Shinken</v>
      </c>
      <c r="B4246" s="4" t="s">
        <v>7138</v>
      </c>
      <c r="C4246" s="8" t="s">
        <v>5</v>
      </c>
      <c r="D4246" s="11" t="s">
        <v>7139</v>
      </c>
    </row>
    <row r="4247" spans="1:4" ht="30">
      <c r="A4247" s="5" t="str">
        <f>HYPERLINK("https://www.oit.va.gov/Services/TRM/ToolPage.aspx?tid=13153^","jEdit")</f>
        <v>jEdit</v>
      </c>
      <c r="B4247" s="4" t="s">
        <v>8125</v>
      </c>
      <c r="C4247" s="8" t="s">
        <v>5</v>
      </c>
      <c r="D4247" s="11" t="s">
        <v>4513</v>
      </c>
    </row>
    <row r="4248" spans="1:4" ht="30">
      <c r="A4248" s="5" t="str">
        <f>HYPERLINK("https://www.oit.va.gov/Services/TRM/ToolPage.aspx?tid=10787^","Fabric")</f>
        <v>Fabric</v>
      </c>
      <c r="B4248" s="4" t="s">
        <v>6601</v>
      </c>
      <c r="C4248" s="8" t="s">
        <v>5</v>
      </c>
      <c r="D4248" s="11" t="s">
        <v>6602</v>
      </c>
    </row>
    <row r="4249" spans="1:4" ht="30">
      <c r="A4249" s="5" t="str">
        <f>HYPERLINK("https://www.oit.va.gov/Services/TRM/ToolPage.aspx?tid=14113^","Jekyll")</f>
        <v>Jekyll</v>
      </c>
      <c r="B4249" s="4" t="s">
        <v>4305</v>
      </c>
      <c r="C4249" s="8" t="s">
        <v>5</v>
      </c>
      <c r="D4249" s="11" t="s">
        <v>4306</v>
      </c>
    </row>
    <row r="4250" spans="1:4" ht="30">
      <c r="A4250" s="5" t="str">
        <f>HYPERLINK("https://www.oit.va.gov/Services/TRM/ToolPage.aspx?tid=6397^","Jenkins Continuous Integration Server")</f>
        <v>Jenkins Continuous Integration Server</v>
      </c>
      <c r="B4250" s="4" t="s">
        <v>2691</v>
      </c>
      <c r="C4250" s="8" t="s">
        <v>5</v>
      </c>
      <c r="D4250" s="11" t="s">
        <v>458</v>
      </c>
    </row>
    <row r="4251" spans="1:4" ht="30">
      <c r="A4251" s="5" t="str">
        <f>HYPERLINK("https://www.oit.va.gov/Services/TRM/ToolPage.aspx?tid=16048^","Allure Plugin")</f>
        <v>Allure Plugin</v>
      </c>
      <c r="B4251" s="4" t="s">
        <v>2691</v>
      </c>
      <c r="C4251" s="8" t="s">
        <v>5</v>
      </c>
      <c r="D4251" s="11" t="s">
        <v>6261</v>
      </c>
    </row>
    <row r="4252" spans="1:4" ht="30">
      <c r="A4252" s="5" t="str">
        <f>HYPERLINK("https://www.oit.va.gov/Services/TRM/ToolPage.aspx?tid=14541^","Jenkins Plugin")</f>
        <v>Jenkins Plugin</v>
      </c>
      <c r="B4252" s="4" t="s">
        <v>2691</v>
      </c>
      <c r="C4252" s="8" t="s">
        <v>5</v>
      </c>
      <c r="D4252" s="11" t="s">
        <v>403</v>
      </c>
    </row>
    <row r="4253" spans="1:4" ht="30">
      <c r="A4253" s="5" t="str">
        <f>HYPERLINK("https://www.oit.va.gov/Services/TRM/ToolPage.aspx?tid=8651^","ProgRes CapturePro")</f>
        <v>ProgRes CapturePro</v>
      </c>
      <c r="B4253" s="4" t="s">
        <v>7033</v>
      </c>
      <c r="C4253" s="8" t="s">
        <v>5</v>
      </c>
      <c r="D4253" s="11" t="s">
        <v>131</v>
      </c>
    </row>
    <row r="4254" spans="1:4" ht="30">
      <c r="A4254" s="5" t="str">
        <f>HYPERLINK("https://www.oit.va.gov/Services/TRM/ToolPage.aspx?tid=13825^","ProGres GRYPHAX")</f>
        <v>ProGres GRYPHAX</v>
      </c>
      <c r="B4254" s="4" t="s">
        <v>7033</v>
      </c>
      <c r="C4254" s="8" t="s">
        <v>5</v>
      </c>
      <c r="D4254" s="11" t="s">
        <v>5554</v>
      </c>
    </row>
    <row r="4255" spans="1:4" ht="30">
      <c r="A4255" s="5" t="str">
        <f>HYPERLINK("https://www.oit.va.gov/Services/TRM/ToolPage.aspx?tid=9281^","CoffeeScript")</f>
        <v>CoffeeScript</v>
      </c>
      <c r="B4255" s="4" t="s">
        <v>5105</v>
      </c>
      <c r="C4255" s="8" t="s">
        <v>5</v>
      </c>
      <c r="D4255" s="11" t="s">
        <v>3939</v>
      </c>
    </row>
    <row r="4256" spans="1:4" ht="30">
      <c r="A4256" s="5" t="str">
        <f>HYPERLINK("https://www.oit.va.gov/Services/TRM/ToolPage.aspx?tid=11697^","FluentValidation")</f>
        <v>FluentValidation</v>
      </c>
      <c r="B4256" s="4" t="s">
        <v>6621</v>
      </c>
      <c r="C4256" s="8" t="s">
        <v>5</v>
      </c>
      <c r="D4256" s="11" t="s">
        <v>4033</v>
      </c>
    </row>
    <row r="4257" spans="1:4" ht="30">
      <c r="A4257" s="5" t="str">
        <f>HYPERLINK("https://www.oit.va.gov/Services/TRM/ToolPage.aspx?tid=9750^","MyDefrag")</f>
        <v>MyDefrag</v>
      </c>
      <c r="B4257" s="4" t="s">
        <v>8295</v>
      </c>
      <c r="C4257" s="8" t="s">
        <v>5</v>
      </c>
      <c r="D4257" s="11" t="s">
        <v>3390</v>
      </c>
    </row>
    <row r="4258" spans="1:4" ht="30">
      <c r="A4258" s="5" t="str">
        <f>HYPERLINK("https://www.oit.va.gov/Services/TRM/ToolPage.aspx?tid=9323^","Rtools")</f>
        <v>Rtools</v>
      </c>
      <c r="B4258" s="4" t="s">
        <v>8583</v>
      </c>
      <c r="C4258" s="8" t="s">
        <v>5</v>
      </c>
      <c r="D4258" s="11" t="s">
        <v>8584</v>
      </c>
    </row>
    <row r="4259" spans="1:4" ht="30">
      <c r="A4259" s="5" t="str">
        <f>HYPERLINK("https://www.oit.va.gov/Services/TRM/ToolPage.aspx?tid=8817^","IKVM.NET")</f>
        <v>IKVM.NET</v>
      </c>
      <c r="B4259" s="4" t="s">
        <v>2657</v>
      </c>
      <c r="C4259" s="8" t="s">
        <v>5</v>
      </c>
      <c r="D4259" s="11" t="s">
        <v>2658</v>
      </c>
    </row>
    <row r="4260" spans="1:4" ht="30">
      <c r="A4260" s="5" t="str">
        <f>HYPERLINK("https://www.oit.va.gov/Services/TRM/ToolPage.aspx?tid=13830^","Provider Nurse Call System")</f>
        <v>Provider Nurse Call System</v>
      </c>
      <c r="B4260" s="4" t="s">
        <v>2884</v>
      </c>
      <c r="C4260" s="8" t="s">
        <v>5</v>
      </c>
      <c r="D4260" s="11" t="s">
        <v>2885</v>
      </c>
    </row>
    <row r="4261" spans="1:4" ht="30">
      <c r="A4261" s="5" t="str">
        <f>HYPERLINK("https://www.oit.va.gov/Services/TRM/ToolPage.aspx?tid=7774^","WebStorm")</f>
        <v>WebStorm</v>
      </c>
      <c r="B4261" s="4" t="s">
        <v>904</v>
      </c>
      <c r="C4261" s="8" t="s">
        <v>5</v>
      </c>
      <c r="D4261" s="11" t="s">
        <v>905</v>
      </c>
    </row>
    <row r="4262" spans="1:4" ht="30">
      <c r="A4262" s="5" t="str">
        <f>HYPERLINK("https://www.oit.va.gov/Services/TRM/ToolPage.aspx?tid=15462^","dotUltimate")</f>
        <v>dotUltimate</v>
      </c>
      <c r="B4262" s="4" t="s">
        <v>904</v>
      </c>
      <c r="C4262" s="8" t="s">
        <v>5</v>
      </c>
      <c r="D4262" s="11" t="s">
        <v>1503</v>
      </c>
    </row>
    <row r="4263" spans="1:4" ht="30">
      <c r="A4263" s="5" t="str">
        <f>HYPERLINK("https://www.oit.va.gov/Services/TRM/ToolPage.aspx?tid=10642^","IntelliJ IDEA")</f>
        <v>IntelliJ IDEA</v>
      </c>
      <c r="B4263" s="4" t="s">
        <v>904</v>
      </c>
      <c r="C4263" s="8" t="s">
        <v>5</v>
      </c>
      <c r="D4263" s="11" t="s">
        <v>1503</v>
      </c>
    </row>
    <row r="4264" spans="1:4" ht="30">
      <c r="A4264" s="5" t="str">
        <f>HYPERLINK("https://www.oit.va.gov/Services/TRM/ToolPage.aspx?tid=10836^","PyCharm")</f>
        <v>PyCharm</v>
      </c>
      <c r="B4264" s="4" t="s">
        <v>904</v>
      </c>
      <c r="C4264" s="8" t="s">
        <v>5</v>
      </c>
      <c r="D4264" s="11" t="s">
        <v>201</v>
      </c>
    </row>
    <row r="4265" spans="1:4" ht="30">
      <c r="A4265" s="5" t="str">
        <f>HYPERLINK("https://www.oit.va.gov/Services/TRM/ToolPage.aspx?tid=7548^","ReSharper")</f>
        <v>ReSharper</v>
      </c>
      <c r="B4265" s="4" t="s">
        <v>904</v>
      </c>
      <c r="C4265" s="8" t="s">
        <v>5</v>
      </c>
      <c r="D4265" s="11" t="s">
        <v>1503</v>
      </c>
    </row>
    <row r="4266" spans="1:4" ht="30">
      <c r="A4266" s="5" t="str">
        <f>HYPERLINK("https://www.oit.va.gov/Services/TRM/ToolPage.aspx?tid=16628^","Rider")</f>
        <v>Rider</v>
      </c>
      <c r="B4266" s="4" t="s">
        <v>904</v>
      </c>
      <c r="C4266" s="8" t="s">
        <v>5</v>
      </c>
      <c r="D4266" s="11" t="s">
        <v>905</v>
      </c>
    </row>
    <row r="4267" spans="1:4" ht="30">
      <c r="A4267" s="5" t="str">
        <f>HYPERLINK("https://www.oit.va.gov/Services/TRM/ToolPage.aspx?tid=7756^","JetBrains Annotations")</f>
        <v>JetBrains Annotations</v>
      </c>
      <c r="B4267" s="4" t="s">
        <v>904</v>
      </c>
      <c r="C4267" s="8" t="s">
        <v>5</v>
      </c>
      <c r="D4267" s="11" t="s">
        <v>2136</v>
      </c>
    </row>
    <row r="4268" spans="1:4" ht="30">
      <c r="A4268" s="5" t="str">
        <f>HYPERLINK("https://www.oit.va.gov/Services/TRM/ToolPage.aspx?tid=15754^","DataGrip")</f>
        <v>DataGrip</v>
      </c>
      <c r="B4268" s="4" t="s">
        <v>904</v>
      </c>
      <c r="C4268" s="8" t="s">
        <v>5</v>
      </c>
      <c r="D4268" s="11" t="s">
        <v>2286</v>
      </c>
    </row>
    <row r="4269" spans="1:4" ht="30">
      <c r="A4269" s="5" t="str">
        <f>HYPERLINK("https://www.oit.va.gov/Services/TRM/ToolPage.aspx?tid=16241^","Kotlin")</f>
        <v>Kotlin</v>
      </c>
      <c r="B4269" s="4" t="s">
        <v>904</v>
      </c>
      <c r="C4269" s="8" t="s">
        <v>5</v>
      </c>
      <c r="D4269" s="11" t="s">
        <v>3063</v>
      </c>
    </row>
    <row r="4270" spans="1:4" ht="30">
      <c r="A4270" s="5" t="str">
        <f>HYPERLINK("https://www.oit.va.gov/Services/TRM/ToolPage.aspx?tid=16342^","PhpStorm")</f>
        <v>PhpStorm</v>
      </c>
      <c r="B4270" s="4" t="s">
        <v>904</v>
      </c>
      <c r="C4270" s="8" t="s">
        <v>5</v>
      </c>
      <c r="D4270" s="11" t="s">
        <v>4599</v>
      </c>
    </row>
    <row r="4271" spans="1:4" ht="30">
      <c r="A4271" s="5" t="str">
        <f>HYPERLINK("https://www.oit.va.gov/Services/TRM/ToolPage.aspx?tid=15218^","RubyMine")</f>
        <v>RubyMine</v>
      </c>
      <c r="B4271" s="4" t="s">
        <v>904</v>
      </c>
      <c r="C4271" s="8" t="s">
        <v>5</v>
      </c>
      <c r="D4271" s="11" t="s">
        <v>905</v>
      </c>
    </row>
    <row r="4272" spans="1:4" ht="30">
      <c r="A4272" s="5" t="str">
        <f>HYPERLINK("https://www.oit.va.gov/Services/TRM/ToolPage.aspx?tid=11687^","JetBrains dotPeek")</f>
        <v>JetBrains dotPeek</v>
      </c>
      <c r="B4272" s="4" t="s">
        <v>904</v>
      </c>
      <c r="C4272" s="8" t="s">
        <v>5</v>
      </c>
      <c r="D4272" s="11" t="s">
        <v>1429</v>
      </c>
    </row>
    <row r="4273" spans="1:4" ht="30">
      <c r="A4273" s="5" t="str">
        <f>HYPERLINK("https://www.oit.va.gov/Services/TRM/ToolPage.aspx?tid=7398^","TeamCity")</f>
        <v>TeamCity</v>
      </c>
      <c r="B4273" s="4" t="s">
        <v>904</v>
      </c>
      <c r="C4273" s="8" t="s">
        <v>5</v>
      </c>
      <c r="D4273" s="11" t="s">
        <v>7213</v>
      </c>
    </row>
    <row r="4274" spans="1:4" ht="30">
      <c r="A4274" s="5" t="str">
        <f>HYPERLINK("https://www.oit.va.gov/Services/TRM/ToolPage.aspx?tid=16366^","Joulescope User Interface (UI)")</f>
        <v>Joulescope User Interface (UI)</v>
      </c>
      <c r="B4274" s="4" t="s">
        <v>4316</v>
      </c>
      <c r="C4274" s="8" t="s">
        <v>5</v>
      </c>
      <c r="D4274" s="11" t="s">
        <v>1737</v>
      </c>
    </row>
    <row r="4275" spans="1:4" ht="30">
      <c r="A4275" s="5" t="str">
        <f>HYPERLINK("https://www.oit.va.gov/Services/TRM/ToolPage.aspx?tid=5848^","JFreeChart")</f>
        <v>JFreeChart</v>
      </c>
      <c r="B4275" s="4" t="s">
        <v>4309</v>
      </c>
      <c r="C4275" s="8" t="s">
        <v>5</v>
      </c>
      <c r="D4275" s="11" t="s">
        <v>2779</v>
      </c>
    </row>
    <row r="4276" spans="1:4" ht="30">
      <c r="A4276" s="5" t="str">
        <f>HYPERLINK("https://www.oit.va.gov/Services/TRM/ToolPage.aspx?tid=14939^","draw.io")</f>
        <v>draw.io</v>
      </c>
      <c r="B4276" s="4" t="s">
        <v>152</v>
      </c>
      <c r="C4276" s="8" t="s">
        <v>5</v>
      </c>
      <c r="D4276" s="11" t="s">
        <v>153</v>
      </c>
    </row>
    <row r="4277" spans="1:4" ht="30">
      <c r="A4277" s="5" t="str">
        <f>HYPERLINK("https://www.oit.va.gov/Services/TRM/ToolPage.aspx?tid=10183^","Digital Imaging and Communications in Medicine (DICOM) Client")</f>
        <v>Digital Imaging and Communications in Medicine (DICOM) Client</v>
      </c>
      <c r="B4277" s="4" t="s">
        <v>7765</v>
      </c>
      <c r="C4277" s="8" t="s">
        <v>5</v>
      </c>
      <c r="D4277" s="11" t="s">
        <v>7766</v>
      </c>
    </row>
    <row r="4278" spans="1:4" ht="30">
      <c r="A4278" s="5" t="str">
        <f>HYPERLINK("https://www.oit.va.gov/Services/TRM/ToolPage.aspx?tid=6736^","SuperPuTTY")</f>
        <v>SuperPuTTY</v>
      </c>
      <c r="B4278" s="4" t="s">
        <v>7196</v>
      </c>
      <c r="C4278" s="8" t="s">
        <v>5</v>
      </c>
      <c r="D4278" s="11" t="s">
        <v>6086</v>
      </c>
    </row>
    <row r="4279" spans="1:4" ht="30">
      <c r="A4279" s="5" t="str">
        <f>HYPERLINK("https://www.oit.va.gov/Services/TRM/ToolPage.aspx?tid=14812^","MediatR")</f>
        <v>MediatR</v>
      </c>
      <c r="B4279" s="4" t="s">
        <v>6840</v>
      </c>
      <c r="C4279" s="8" t="s">
        <v>5</v>
      </c>
      <c r="D4279" s="11" t="s">
        <v>2965</v>
      </c>
    </row>
    <row r="4280" spans="1:4" ht="30">
      <c r="A4280" s="5" t="str">
        <f>HYPERLINK("https://www.oit.va.gov/Services/TRM/ToolPage.aspx?tid=13964^","Haveged")</f>
        <v>Haveged</v>
      </c>
      <c r="B4280" s="4" t="s">
        <v>6683</v>
      </c>
      <c r="C4280" s="8" t="s">
        <v>5</v>
      </c>
      <c r="D4280" s="11" t="s">
        <v>5403</v>
      </c>
    </row>
    <row r="4281" spans="1:4" ht="30">
      <c r="A4281" s="5" t="str">
        <f>HYPERLINK("https://www.oit.va.gov/Services/TRM/ToolPage.aspx?tid=14953^","Jitbit Macro Recorder")</f>
        <v>Jitbit Macro Recorder</v>
      </c>
      <c r="B4281" s="4" t="s">
        <v>4311</v>
      </c>
      <c r="C4281" s="8" t="s">
        <v>5</v>
      </c>
      <c r="D4281" s="11" t="s">
        <v>2148</v>
      </c>
    </row>
    <row r="4282" spans="1:4" ht="30">
      <c r="A4282" s="5" t="str">
        <f>HYPERLINK("https://www.oit.va.gov/Services/TRM/ToolPage.aspx?tid=6549^","Jive-n")</f>
        <v>Jive-n</v>
      </c>
      <c r="B4282" s="4" t="s">
        <v>5283</v>
      </c>
      <c r="C4282" s="8" t="s">
        <v>5</v>
      </c>
      <c r="D4282" s="11" t="s">
        <v>5204</v>
      </c>
    </row>
    <row r="4283" spans="1:4" ht="30">
      <c r="A4283" s="5" t="str">
        <f>HYPERLINK("https://www.oit.va.gov/Services/TRM/ToolPage.aspx?tid=7912^","Jack Rabbit Foot Scanner Software")</f>
        <v>Jack Rabbit Foot Scanner Software</v>
      </c>
      <c r="B4283" s="4" t="s">
        <v>8115</v>
      </c>
      <c r="C4283" s="8" t="s">
        <v>5</v>
      </c>
      <c r="D4283" s="11" t="s">
        <v>8054</v>
      </c>
    </row>
    <row r="4284" spans="1:4" ht="30">
      <c r="A4284" s="5" t="str">
        <f>HYPERLINK("https://www.oit.va.gov/Services/TRM/ToolPage.aspx?tid=13129^","KDiff3")</f>
        <v>KDiff3</v>
      </c>
      <c r="B4284" s="4" t="s">
        <v>5900</v>
      </c>
      <c r="C4284" s="8" t="s">
        <v>5</v>
      </c>
      <c r="D4284" s="11" t="s">
        <v>1547</v>
      </c>
    </row>
    <row r="4285" spans="1:4" ht="30">
      <c r="A4285" s="5" t="str">
        <f>HYPERLINK("https://www.oit.va.gov/Services/TRM/ToolPage.aspx?tid=6267^","Joda Time")</f>
        <v>Joda Time</v>
      </c>
      <c r="B4285" s="4" t="s">
        <v>3353</v>
      </c>
      <c r="C4285" s="8" t="s">
        <v>5</v>
      </c>
      <c r="D4285" s="11" t="s">
        <v>3354</v>
      </c>
    </row>
    <row r="4286" spans="1:4" ht="30">
      <c r="A4286" s="5" t="str">
        <f>HYPERLINK("https://www.oit.va.gov/Services/TRM/ToolPage.aspx?tid=10284^","M-Unit")</f>
        <v>M-Unit</v>
      </c>
      <c r="B4286" s="4" t="s">
        <v>4463</v>
      </c>
      <c r="C4286" s="8" t="s">
        <v>5</v>
      </c>
      <c r="D4286" s="11" t="s">
        <v>4464</v>
      </c>
    </row>
    <row r="4287" spans="1:4" ht="30">
      <c r="A4287" s="5" t="str">
        <f>HYPERLINK("https://www.oit.va.gov/Services/TRM/ToolPage.aspx?tid=9670^","Java3D")</f>
        <v>Java3D</v>
      </c>
      <c r="B4287" s="4" t="s">
        <v>2687</v>
      </c>
      <c r="C4287" s="8" t="s">
        <v>5</v>
      </c>
      <c r="D4287" s="11" t="s">
        <v>2066</v>
      </c>
    </row>
    <row r="4288" spans="1:4" ht="30">
      <c r="A4288" s="5" t="str">
        <f>HYPERLINK("https://www.oit.va.gov/Services/TRM/ToolPage.aspx?tid=9180^","Representational State Transfer (REST) Assured")</f>
        <v>Representational State Transfer (REST) Assured</v>
      </c>
      <c r="B4288" s="4" t="s">
        <v>8561</v>
      </c>
      <c r="C4288" s="8" t="s">
        <v>5</v>
      </c>
      <c r="D4288" s="11" t="s">
        <v>8562</v>
      </c>
    </row>
    <row r="4289" spans="1:4" ht="30">
      <c r="A4289" s="5" t="str">
        <f>HYPERLINK("https://www.oit.va.gov/Services/TRM/ToolPage.aspx?tid=11269^","Gulp-Webserver")</f>
        <v>Gulp-Webserver</v>
      </c>
      <c r="B4289" s="4" t="s">
        <v>8009</v>
      </c>
      <c r="C4289" s="8" t="s">
        <v>5</v>
      </c>
      <c r="D4289" s="11" t="s">
        <v>2627</v>
      </c>
    </row>
    <row r="4290" spans="1:4" ht="30">
      <c r="A4290" s="5" t="str">
        <f>HYPERLINK("https://www.oit.va.gov/Services/TRM/ToolPage.aspx?tid=8558^","Meyers Neuropsychological Battery (MNB)")</f>
        <v>Meyers Neuropsychological Battery (MNB)</v>
      </c>
      <c r="B4290" s="4" t="s">
        <v>3381</v>
      </c>
      <c r="C4290" s="8" t="s">
        <v>5</v>
      </c>
      <c r="D4290" s="11" t="s">
        <v>1268</v>
      </c>
    </row>
    <row r="4291" spans="1:4" ht="30">
      <c r="A4291" s="5" t="str">
        <f>HYPERLINK("https://www.oit.va.gov/Services/TRM/ToolPage.aspx?tid=16579^","Visual National Language Processing (NLP)")</f>
        <v>Visual National Language Processing (NLP)</v>
      </c>
      <c r="B4291" s="4" t="s">
        <v>4971</v>
      </c>
      <c r="C4291" s="8" t="s">
        <v>5</v>
      </c>
      <c r="D4291" s="11" t="s">
        <v>4972</v>
      </c>
    </row>
    <row r="4292" spans="1:4" ht="30">
      <c r="A4292" s="5" t="str">
        <f>HYPERLINK("https://www.oit.va.gov/Services/TRM/ToolPage.aspx?tid=16155^","Healthcare Natural Language Processing (NLP) Models")</f>
        <v>Healthcare Natural Language Processing (NLP) Models</v>
      </c>
      <c r="B4292" s="4" t="s">
        <v>4971</v>
      </c>
      <c r="C4292" s="8" t="s">
        <v>5</v>
      </c>
      <c r="D4292" s="11" t="s">
        <v>5844</v>
      </c>
    </row>
    <row r="4293" spans="1:4" ht="30">
      <c r="A4293" s="5" t="str">
        <f>HYPERLINK("https://www.oit.va.gov/Services/TRM/ToolPage.aspx?tid=16338^","Natural Language Processing (NLP) Lab")</f>
        <v>Natural Language Processing (NLP) Lab</v>
      </c>
      <c r="B4293" s="4" t="s">
        <v>4971</v>
      </c>
      <c r="C4293" s="8" t="s">
        <v>5</v>
      </c>
      <c r="D4293" s="11" t="s">
        <v>6906</v>
      </c>
    </row>
    <row r="4294" spans="1:4" ht="30">
      <c r="A4294" s="5" t="str">
        <f>HYPERLINK("https://www.oit.va.gov/Services/TRM/ToolPage.aspx?tid=13177^","Ablation Confirmation (AC)")</f>
        <v>Ablation Confirmation (AC)</v>
      </c>
      <c r="B4294" s="4" t="s">
        <v>6222</v>
      </c>
      <c r="C4294" s="8" t="s">
        <v>5</v>
      </c>
      <c r="D4294" s="11" t="s">
        <v>6223</v>
      </c>
    </row>
    <row r="4295" spans="1:4" ht="30">
      <c r="A4295" s="5" t="str">
        <f>HYPERLINK("https://www.oit.va.gov/Services/TRM/ToolPage.aspx?tid=15112^","Metasys Controller Configuration Tool (CCT)")</f>
        <v>Metasys Controller Configuration Tool (CCT)</v>
      </c>
      <c r="B4295" s="4" t="s">
        <v>1729</v>
      </c>
      <c r="C4295" s="8" t="s">
        <v>5</v>
      </c>
      <c r="D4295" s="11" t="s">
        <v>1730</v>
      </c>
    </row>
    <row r="4296" spans="1:4" ht="30">
      <c r="A4296" s="5" t="str">
        <f>HYPERLINK("https://www.oit.va.gov/Services/TRM/ToolPage.aspx?tid=11750^","Johnson Controls Facility Explorer")</f>
        <v>Johnson Controls Facility Explorer</v>
      </c>
      <c r="B4296" s="4" t="s">
        <v>1729</v>
      </c>
      <c r="C4296" s="8" t="s">
        <v>5</v>
      </c>
      <c r="D4296" s="11" t="s">
        <v>3355</v>
      </c>
    </row>
    <row r="4297" spans="1:4" ht="30">
      <c r="A4297" s="5" t="str">
        <f>HYPERLINK("https://www.oit.va.gov/Services/TRM/ToolPage.aspx?tid=15114^","Metasys System Configuration Tool (SCT)")</f>
        <v>Metasys System Configuration Tool (SCT)</v>
      </c>
      <c r="B4297" s="4" t="s">
        <v>1729</v>
      </c>
      <c r="C4297" s="8" t="s">
        <v>5</v>
      </c>
      <c r="D4297" s="11" t="s">
        <v>4409</v>
      </c>
    </row>
    <row r="4298" spans="1:4" ht="30">
      <c r="A4298" s="5" t="str">
        <f>HYPERLINK("https://www.oit.va.gov/Services/TRM/ToolPage.aspx?tid=14128^","Johnson Controls Metasys Graphics Generation Tool (GGT)")</f>
        <v>Johnson Controls Metasys Graphics Generation Tool (GGT)</v>
      </c>
      <c r="B4298" s="4" t="s">
        <v>1729</v>
      </c>
      <c r="C4298" s="8" t="s">
        <v>5</v>
      </c>
      <c r="D4298" s="11" t="s">
        <v>2212</v>
      </c>
    </row>
    <row r="4299" spans="1:4" ht="30">
      <c r="A4299" s="5" t="str">
        <f>HYPERLINK("https://www.oit.va.gov/Services/TRM/ToolPage.aspx?tid=13123^","Metasys Launcher")</f>
        <v>Metasys Launcher</v>
      </c>
      <c r="B4299" s="4" t="s">
        <v>1729</v>
      </c>
      <c r="C4299" s="8" t="s">
        <v>5</v>
      </c>
      <c r="D4299" s="11" t="s">
        <v>4381</v>
      </c>
    </row>
    <row r="4300" spans="1:4" ht="30">
      <c r="A4300" s="5" t="str">
        <f>HYPERLINK("https://www.oit.va.gov/Services/TRM/ToolPage.aspx?tid=15837^","SprinkCAD Revit")</f>
        <v>SprinkCAD Revit</v>
      </c>
      <c r="B4300" s="4" t="s">
        <v>1729</v>
      </c>
      <c r="C4300" s="8" t="s">
        <v>5</v>
      </c>
      <c r="D4300" s="11" t="s">
        <v>7174</v>
      </c>
    </row>
    <row r="4301" spans="1:4" ht="30">
      <c r="A4301" s="5" t="str">
        <f>HYPERLINK("https://www.oit.va.gov/Services/TRM/ToolPage.aspx?tid=12892^","Johnson Controls Metasys Energy Dashboard")</f>
        <v>Johnson Controls Metasys Energy Dashboard</v>
      </c>
      <c r="B4301" s="4" t="s">
        <v>1729</v>
      </c>
      <c r="C4301" s="8" t="s">
        <v>5</v>
      </c>
      <c r="D4301" s="11" t="s">
        <v>2223</v>
      </c>
    </row>
    <row r="4302" spans="1:4" ht="30">
      <c r="A4302" s="5" t="str">
        <f>HYPERLINK("https://www.oit.va.gov/Services/TRM/ToolPage.aspx?tid=10126^","Johnson, Roberts and Associates (JRA) Test Scoring System")</f>
        <v>Johnson, Roberts and Associates (JRA) Test Scoring System</v>
      </c>
      <c r="B4302" s="4" t="s">
        <v>1674</v>
      </c>
      <c r="C4302" s="8" t="s">
        <v>5</v>
      </c>
      <c r="D4302" s="11" t="s">
        <v>92</v>
      </c>
    </row>
    <row r="4303" spans="1:4" ht="30">
      <c r="A4303" s="5" t="str">
        <f>HYPERLINK("https://www.oit.va.gov/Services/TRM/ToolPage.aspx?tid=10545^","Lobby Track Visitor Management Software")</f>
        <v>Lobby Track Visitor Management Software</v>
      </c>
      <c r="B4303" s="4" t="s">
        <v>6196</v>
      </c>
      <c r="C4303" s="8" t="s">
        <v>5</v>
      </c>
      <c r="D4303" s="11" t="s">
        <v>3364</v>
      </c>
    </row>
    <row r="4304" spans="1:4" ht="30">
      <c r="A4304" s="5" t="str">
        <f>HYPERLINK("https://www.oit.va.gov/Services/TRM/ToolPage.aspx?tid=13841^","Identification (ID) Flow")</f>
        <v>Identification (ID) Flow</v>
      </c>
      <c r="B4304" s="4" t="s">
        <v>6196</v>
      </c>
      <c r="C4304" s="8" t="s">
        <v>5</v>
      </c>
      <c r="D4304" s="11" t="s">
        <v>1707</v>
      </c>
    </row>
    <row r="4305" spans="1:4" ht="30">
      <c r="A4305" s="5" t="str">
        <f>HYPERLINK("https://www.oit.va.gov/Services/TRM/ToolPage.aspx?tid=7147^","AspectWerkz")</f>
        <v>AspectWerkz</v>
      </c>
      <c r="B4305" s="4" t="s">
        <v>7490</v>
      </c>
      <c r="C4305" s="8" t="s">
        <v>5</v>
      </c>
      <c r="D4305" s="11" t="s">
        <v>7491</v>
      </c>
    </row>
    <row r="4306" spans="1:4" ht="30">
      <c r="A4306" s="5" t="str">
        <f>HYPERLINK("https://www.oit.va.gov/Services/TRM/ToolPage.aspx?tid=8246^","Jongo")</f>
        <v>Jongo</v>
      </c>
      <c r="B4306" s="4" t="s">
        <v>5897</v>
      </c>
      <c r="C4306" s="8" t="s">
        <v>5</v>
      </c>
      <c r="D4306" s="11" t="s">
        <v>4363</v>
      </c>
    </row>
    <row r="4307" spans="1:4" ht="30">
      <c r="A4307" s="5" t="str">
        <f>HYPERLINK("https://www.oit.va.gov/Services/TRM/ToolPage.aspx?tid=7036^","LINQPad (Language-Integrated Query)")</f>
        <v>LINQPad (Language-Integrated Query)</v>
      </c>
      <c r="B4307" s="4" t="s">
        <v>5908</v>
      </c>
      <c r="C4307" s="8" t="s">
        <v>5</v>
      </c>
      <c r="D4307" s="11" t="s">
        <v>1184</v>
      </c>
    </row>
    <row r="4308" spans="1:4" ht="30">
      <c r="A4308" s="5" t="str">
        <f>HYPERLINK("https://www.oit.va.gov/Services/TRM/ToolPage.aspx?tid=7115^","Cancer Care Plan Builder")</f>
        <v>Cancer Care Plan Builder</v>
      </c>
      <c r="B4308" s="4" t="s">
        <v>5086</v>
      </c>
      <c r="C4308" s="8" t="s">
        <v>5</v>
      </c>
      <c r="D4308" s="11" t="s">
        <v>2483</v>
      </c>
    </row>
    <row r="4309" spans="1:4" ht="30">
      <c r="A4309" s="5" t="str">
        <f>HYPERLINK("https://www.oit.va.gov/Services/TRM/ToolPage.aspx?tid=13052^","Take Command")</f>
        <v>Take Command</v>
      </c>
      <c r="B4309" s="4" t="s">
        <v>5546</v>
      </c>
      <c r="C4309" s="8" t="s">
        <v>5</v>
      </c>
      <c r="D4309" s="11" t="s">
        <v>5547</v>
      </c>
    </row>
    <row r="4310" spans="1:4" ht="30">
      <c r="A4310" s="5" t="str">
        <f>HYPERLINK("https://www.oit.va.gov/Services/TRM/ToolPage.aspx?tid=13792^","jq")</f>
        <v>jq</v>
      </c>
      <c r="B4310" s="4" t="s">
        <v>6753</v>
      </c>
      <c r="C4310" s="8" t="s">
        <v>5</v>
      </c>
      <c r="D4310" s="11" t="s">
        <v>2647</v>
      </c>
    </row>
    <row r="4311" spans="1:4" ht="30">
      <c r="A4311" s="5" t="str">
        <f>HYPERLINK("https://www.oit.va.gov/Services/TRM/ToolPage.aspx?tid=13183^","Foot3Dt")</f>
        <v>Foot3Dt</v>
      </c>
      <c r="B4311" s="4" t="s">
        <v>6625</v>
      </c>
      <c r="C4311" s="8" t="s">
        <v>5</v>
      </c>
      <c r="D4311" s="11" t="s">
        <v>6626</v>
      </c>
    </row>
    <row r="4312" spans="1:4" ht="30">
      <c r="A4312" s="5" t="str">
        <f>HYPERLINK("https://www.oit.va.gov/Services/TRM/ToolPage.aspx?tid=7054^","Jscape Managed File Transfer (MFT) Server")</f>
        <v>Jscape Managed File Transfer (MFT) Server</v>
      </c>
      <c r="B4312" s="4" t="s">
        <v>736</v>
      </c>
      <c r="C4312" s="8" t="s">
        <v>5</v>
      </c>
      <c r="D4312" s="11" t="s">
        <v>737</v>
      </c>
    </row>
    <row r="4313" spans="1:4" ht="30">
      <c r="A4313" s="5" t="str">
        <f>HYPERLINK("https://www.oit.va.gov/Services/TRM/ToolPage.aspx?tid=7590^","SizeExplorer Pro")</f>
        <v>SizeExplorer Pro</v>
      </c>
      <c r="B4313" s="4" t="s">
        <v>2957</v>
      </c>
      <c r="C4313" s="8" t="s">
        <v>5</v>
      </c>
      <c r="D4313" s="11" t="s">
        <v>2958</v>
      </c>
    </row>
    <row r="4314" spans="1:4" ht="30">
      <c r="A4314" s="5" t="str">
        <f>HYPERLINK("https://www.oit.va.gov/Services/TRM/ToolPage.aspx?tid=11267^","JSHint")</f>
        <v>JSHint</v>
      </c>
      <c r="B4314" s="4" t="s">
        <v>5288</v>
      </c>
      <c r="C4314" s="8" t="s">
        <v>5</v>
      </c>
      <c r="D4314" s="11" t="s">
        <v>2700</v>
      </c>
    </row>
    <row r="4315" spans="1:4" ht="30">
      <c r="A4315" s="5" t="str">
        <f>HYPERLINK("https://www.oit.va.gov/Services/TRM/ToolPage.aspx?tid=13124^","JTB FlexReport")</f>
        <v>JTB FlexReport</v>
      </c>
      <c r="B4315" s="4" t="s">
        <v>1677</v>
      </c>
      <c r="C4315" s="8" t="s">
        <v>5</v>
      </c>
      <c r="D4315" s="11" t="s">
        <v>567</v>
      </c>
    </row>
    <row r="4316" spans="1:4" ht="30">
      <c r="A4316" s="5" t="str">
        <f>HYPERLINK("https://www.oit.va.gov/Services/TRM/ToolPage.aspx?tid=16123^","JTB FlexReport LT")</f>
        <v>JTB FlexReport LT</v>
      </c>
      <c r="B4316" s="4" t="s">
        <v>1677</v>
      </c>
      <c r="C4316" s="8" t="s">
        <v>5</v>
      </c>
      <c r="D4316" s="11" t="s">
        <v>81</v>
      </c>
    </row>
    <row r="4317" spans="1:4" ht="30">
      <c r="A4317" s="5" t="str">
        <f>HYPERLINK("https://www.oit.va.gov/Services/TRM/ToolPage.aspx?tid=7558^","Tracker")</f>
        <v>Tracker</v>
      </c>
      <c r="B4317" s="4" t="s">
        <v>5556</v>
      </c>
      <c r="C4317" s="8" t="s">
        <v>5</v>
      </c>
      <c r="D4317" s="11" t="s">
        <v>5557</v>
      </c>
    </row>
    <row r="4318" spans="1:4" ht="30">
      <c r="A4318" s="5" t="str">
        <f>HYPERLINK("https://www.oit.va.gov/Services/TRM/ToolPage.aspx?tid=11607^","JuliaPro")</f>
        <v>JuliaPro</v>
      </c>
      <c r="B4318" s="4" t="s">
        <v>5289</v>
      </c>
      <c r="C4318" s="8" t="s">
        <v>5</v>
      </c>
      <c r="D4318" s="11" t="s">
        <v>1178</v>
      </c>
    </row>
    <row r="4319" spans="1:4" ht="30">
      <c r="A4319" s="5" t="str">
        <f>HYPERLINK("https://www.oit.va.gov/Services/TRM/ToolPage.aspx?tid=11587^","Julia Programming Language")</f>
        <v>Julia Programming Language</v>
      </c>
      <c r="B4319" s="4" t="s">
        <v>5289</v>
      </c>
      <c r="C4319" s="8" t="s">
        <v>5</v>
      </c>
      <c r="D4319" s="11" t="s">
        <v>6756</v>
      </c>
    </row>
    <row r="4320" spans="1:4" ht="30">
      <c r="A4320" s="5" t="str">
        <f>HYPERLINK("https://www.oit.va.gov/Services/TRM/ToolPage.aspx?tid=8226^","JumpMind SymmetricDS")</f>
        <v>JumpMind SymmetricDS</v>
      </c>
      <c r="B4320" s="4" t="s">
        <v>2697</v>
      </c>
      <c r="C4320" s="8" t="s">
        <v>5</v>
      </c>
      <c r="D4320" s="11" t="s">
        <v>2698</v>
      </c>
    </row>
    <row r="4321" spans="1:4" ht="30">
      <c r="A4321" s="5" t="str">
        <f>HYPERLINK("https://www.oit.va.gov/Services/TRM/ToolPage.aspx?tid=7019^","Firefly Host")</f>
        <v>Firefly Host</v>
      </c>
      <c r="B4321" s="4" t="s">
        <v>2122</v>
      </c>
      <c r="C4321" s="8" t="s">
        <v>5</v>
      </c>
      <c r="D4321" s="11" t="s">
        <v>2123</v>
      </c>
    </row>
    <row r="4322" spans="1:4" ht="30">
      <c r="A4322" s="5" t="str">
        <f>HYPERLINK("https://www.oit.va.gov/Services/TRM/ToolPage.aspx?tid=14805^","Juniper Mobile Connect")</f>
        <v>Juniper Mobile Connect</v>
      </c>
      <c r="B4322" s="4" t="s">
        <v>2122</v>
      </c>
      <c r="C4322" s="8" t="s">
        <v>5</v>
      </c>
      <c r="D4322" s="11" t="s">
        <v>4219</v>
      </c>
    </row>
    <row r="4323" spans="1:4" ht="30">
      <c r="A4323" s="5" t="str">
        <f>HYPERLINK("https://www.oit.va.gov/Services/TRM/ToolPage.aspx?tid=38^","JUnit")</f>
        <v>JUnit</v>
      </c>
      <c r="B4323" s="4" t="s">
        <v>2699</v>
      </c>
      <c r="C4323" s="8" t="s">
        <v>5</v>
      </c>
      <c r="D4323" s="11" t="s">
        <v>2700</v>
      </c>
    </row>
    <row r="4324" spans="1:4" ht="30">
      <c r="A4324" s="5" t="str">
        <f>HYPERLINK("https://www.oit.va.gov/Services/TRM/ToolPage.aspx?tid=9023^","EditPad")</f>
        <v>EditPad</v>
      </c>
      <c r="B4324" s="4" t="s">
        <v>2533</v>
      </c>
      <c r="C4324" s="8" t="s">
        <v>5</v>
      </c>
      <c r="D4324" s="11" t="s">
        <v>1526</v>
      </c>
    </row>
    <row r="4325" spans="1:4" ht="30">
      <c r="A4325" s="5" t="str">
        <f>HYPERLINK("https://www.oit.va.gov/Services/TRM/ToolPage.aspx?tid=6669^","Power Global Regular Expression Print (PowerGREP)")</f>
        <v>Power Global Regular Expression Print (PowerGREP)</v>
      </c>
      <c r="B4325" s="4" t="s">
        <v>2533</v>
      </c>
      <c r="C4325" s="8" t="s">
        <v>5</v>
      </c>
      <c r="D4325" s="11" t="s">
        <v>804</v>
      </c>
    </row>
    <row r="4326" spans="1:4" ht="30">
      <c r="A4326" s="5" t="str">
        <f>HYPERLINK("https://www.oit.va.gov/Services/TRM/ToolPage.aspx?tid=6286^","RegexBuddy")</f>
        <v>RegexBuddy</v>
      </c>
      <c r="B4326" s="4" t="s">
        <v>2533</v>
      </c>
      <c r="C4326" s="8" t="s">
        <v>5</v>
      </c>
      <c r="D4326" s="11" t="s">
        <v>16</v>
      </c>
    </row>
    <row r="4327" spans="1:4" ht="30">
      <c r="A4327" s="5" t="str">
        <f>HYPERLINK("https://www.oit.va.gov/Services/TRM/ToolPage.aspx?tid=8151^","Justinmind Prototyper")</f>
        <v>Justinmind Prototyper</v>
      </c>
      <c r="B4327" s="4" t="s">
        <v>2701</v>
      </c>
      <c r="C4327" s="8" t="s">
        <v>5</v>
      </c>
      <c r="D4327" s="11" t="s">
        <v>2702</v>
      </c>
    </row>
    <row r="4328" spans="1:4" ht="30">
      <c r="A4328" s="5" t="str">
        <f>HYPERLINK("https://www.oit.va.gov/Services/TRM/ToolPage.aspx?tid=15420^","Web Emergency Operations Center (WebEOC)")</f>
        <v>Web Emergency Operations Center (WebEOC)</v>
      </c>
      <c r="B4328" s="4" t="s">
        <v>6158</v>
      </c>
      <c r="C4328" s="8" t="s">
        <v>5</v>
      </c>
      <c r="D4328" s="11" t="s">
        <v>2598</v>
      </c>
    </row>
    <row r="4329" spans="1:4" ht="30">
      <c r="A4329" s="5" t="str">
        <f>HYPERLINK("https://www.oit.va.gov/Services/TRM/ToolPage.aspx?tid=11160^","EMTrack")</f>
        <v>EMTrack</v>
      </c>
      <c r="B4329" s="4" t="s">
        <v>6158</v>
      </c>
      <c r="C4329" s="8" t="s">
        <v>5</v>
      </c>
      <c r="D4329" s="11" t="s">
        <v>2114</v>
      </c>
    </row>
    <row r="4330" spans="1:4" ht="30">
      <c r="A4330" s="5" t="str">
        <f>HYPERLINK("https://www.oit.va.gov/Services/TRM/ToolPage.aspx?tid=14472^","JXplorer")</f>
        <v>JXplorer</v>
      </c>
      <c r="B4330" s="4" t="s">
        <v>8136</v>
      </c>
      <c r="C4330" s="8" t="s">
        <v>5</v>
      </c>
      <c r="D4330" s="11" t="s">
        <v>2698</v>
      </c>
    </row>
    <row r="4331" spans="1:4" ht="30">
      <c r="A4331" s="5" t="str">
        <f>HYPERLINK("https://www.oit.va.gov/Services/TRM/ToolPage.aspx?tid=16318^","Kahua")</f>
        <v>Kahua</v>
      </c>
      <c r="B4331" s="4" t="s">
        <v>4323</v>
      </c>
      <c r="C4331" s="8" t="s">
        <v>5</v>
      </c>
      <c r="D4331" s="11" t="s">
        <v>4324</v>
      </c>
    </row>
    <row r="4332" spans="1:4" ht="30">
      <c r="A4332" s="5" t="str">
        <f>HYPERLINK("https://www.oit.va.gov/Services/TRM/ToolPage.aspx?tid=11249^","Training Manager")</f>
        <v>Training Manager</v>
      </c>
      <c r="B4332" s="4" t="s">
        <v>7240</v>
      </c>
      <c r="C4332" s="8" t="s">
        <v>5</v>
      </c>
      <c r="D4332" s="11" t="s">
        <v>7241</v>
      </c>
    </row>
    <row r="4333" spans="1:4" ht="30">
      <c r="A4333" s="5" t="str">
        <f>HYPERLINK("https://www.oit.va.gov/Services/TRM/ToolPage.aspx?tid=8388^","PotPlayer")</f>
        <v>PotPlayer</v>
      </c>
      <c r="B4333" s="4" t="s">
        <v>8463</v>
      </c>
      <c r="C4333" s="8" t="s">
        <v>5</v>
      </c>
      <c r="D4333" s="11" t="s">
        <v>8404</v>
      </c>
    </row>
    <row r="4334" spans="1:4" ht="30">
      <c r="A4334" s="5" t="str">
        <f>HYPERLINK("https://www.oit.va.gov/Services/TRM/ToolPage.aspx?tid=11062^","Moq")</f>
        <v>Moq</v>
      </c>
      <c r="B4334" s="4" t="s">
        <v>6888</v>
      </c>
      <c r="C4334" s="8" t="s">
        <v>5</v>
      </c>
      <c r="D4334" s="11" t="s">
        <v>1236</v>
      </c>
    </row>
    <row r="4335" spans="1:4" ht="30">
      <c r="A4335" s="5" t="str">
        <f>HYPERLINK("https://www.oit.va.gov/Services/TRM/ToolPage.aspx?tid=7192^","Kaltura Video Package")</f>
        <v>Kaltura Video Package</v>
      </c>
      <c r="B4335" s="4" t="s">
        <v>5292</v>
      </c>
      <c r="C4335" s="8" t="s">
        <v>5</v>
      </c>
      <c r="D4335" s="11" t="s">
        <v>1024</v>
      </c>
    </row>
    <row r="4336" spans="1:4" ht="30">
      <c r="A4336" s="5" t="str">
        <f>HYPERLINK("https://www.oit.va.gov/Services/TRM/ToolPage.aspx?tid=8683^","Handheld Laser Particle Counter (LPC) Utility Software")</f>
        <v>Handheld Laser Particle Counter (LPC) Utility Software</v>
      </c>
      <c r="B4336" s="4" t="s">
        <v>1588</v>
      </c>
      <c r="C4336" s="8" t="s">
        <v>5</v>
      </c>
      <c r="D4336" s="11" t="s">
        <v>1348</v>
      </c>
    </row>
    <row r="4337" spans="1:4" ht="30">
      <c r="A4337" s="5" t="str">
        <f>HYPERLINK("https://www.oit.va.gov/Services/TRM/ToolPage.aspx?tid=15046^","Tabular Editor")</f>
        <v>Tabular Editor</v>
      </c>
      <c r="B4337" s="4" t="s">
        <v>4886</v>
      </c>
      <c r="C4337" s="8" t="s">
        <v>5</v>
      </c>
      <c r="D4337" s="11" t="s">
        <v>4887</v>
      </c>
    </row>
    <row r="4338" spans="1:4" ht="30">
      <c r="A4338" s="5" t="str">
        <f>HYPERLINK("https://www.oit.va.gov/Services/TRM/ToolPage.aspx?tid=7432^","UltimateSpell")</f>
        <v>UltimateSpell</v>
      </c>
      <c r="B4338" s="4" t="s">
        <v>8839</v>
      </c>
      <c r="C4338" s="8" t="s">
        <v>5</v>
      </c>
      <c r="D4338" s="11" t="s">
        <v>8840</v>
      </c>
    </row>
    <row r="4339" spans="1:4" ht="30">
      <c r="A4339" s="5" t="str">
        <f>HYPERLINK("https://www.oit.va.gov/Services/TRM/ToolPage.aspx?tid=15581^","Kardex Power Pick Global")</f>
        <v>Kardex Power Pick Global</v>
      </c>
      <c r="B4339" s="4" t="s">
        <v>5899</v>
      </c>
      <c r="C4339" s="8" t="s">
        <v>5</v>
      </c>
      <c r="D4339" s="11" t="s">
        <v>5863</v>
      </c>
    </row>
    <row r="4340" spans="1:4" ht="30">
      <c r="A4340" s="5" t="str">
        <f>HYPERLINK("https://www.oit.va.gov/Services/TRM/ToolPage.aspx?tid=11689^","StreamConnect")</f>
        <v>StreamConnect</v>
      </c>
      <c r="B4340" s="4" t="s">
        <v>6090</v>
      </c>
      <c r="C4340" s="8" t="s">
        <v>5</v>
      </c>
      <c r="D4340" s="11" t="s">
        <v>1016</v>
      </c>
    </row>
    <row r="4341" spans="1:4" ht="30">
      <c r="A4341" s="5" t="str">
        <f>HYPERLINK("https://www.oit.va.gov/Services/TRM/ToolPage.aspx?tid=8882^","Karma")</f>
        <v>Karma</v>
      </c>
      <c r="B4341" s="4" t="s">
        <v>2707</v>
      </c>
      <c r="C4341" s="8" t="s">
        <v>5</v>
      </c>
      <c r="D4341" s="11" t="s">
        <v>2708</v>
      </c>
    </row>
    <row r="4342" spans="1:4" ht="30">
      <c r="A4342" s="5" t="str">
        <f>HYPERLINK("https://www.oit.va.gov/Services/TRM/ToolPage.aspx?tid=8883^","Karma-Chrome-Launcher")</f>
        <v>Karma-Chrome-Launcher</v>
      </c>
      <c r="B4342" s="4" t="s">
        <v>2707</v>
      </c>
      <c r="C4342" s="8" t="s">
        <v>5</v>
      </c>
      <c r="D4342" s="11" t="s">
        <v>2709</v>
      </c>
    </row>
    <row r="4343" spans="1:4" ht="30">
      <c r="A4343" s="5" t="str">
        <f>HYPERLINK("https://www.oit.va.gov/Services/TRM/ToolPage.aspx?tid=8884^","Karma-Firefox-Launcher")</f>
        <v>Karma-Firefox-Launcher</v>
      </c>
      <c r="B4343" s="4" t="s">
        <v>2707</v>
      </c>
      <c r="C4343" s="8" t="s">
        <v>5</v>
      </c>
      <c r="D4343" s="11" t="s">
        <v>2555</v>
      </c>
    </row>
    <row r="4344" spans="1:4" ht="30">
      <c r="A4344" s="5" t="str">
        <f>HYPERLINK("https://www.oit.va.gov/Services/TRM/ToolPage.aspx?tid=8885^","Karma-Jasmine")</f>
        <v>Karma-Jasmine</v>
      </c>
      <c r="B4344" s="4" t="s">
        <v>2707</v>
      </c>
      <c r="C4344" s="8" t="s">
        <v>5</v>
      </c>
      <c r="D4344" s="11" t="s">
        <v>1032</v>
      </c>
    </row>
    <row r="4345" spans="1:4" ht="30">
      <c r="A4345" s="5" t="str">
        <f>HYPERLINK("https://www.oit.va.gov/Services/TRM/ToolPage.aspx?tid=8886^","Karma-PhantomJS-Launcher")</f>
        <v>Karma-PhantomJS-Launcher</v>
      </c>
      <c r="B4345" s="4" t="s">
        <v>2707</v>
      </c>
      <c r="C4345" s="8" t="s">
        <v>5</v>
      </c>
      <c r="D4345" s="11" t="s">
        <v>1032</v>
      </c>
    </row>
    <row r="4346" spans="1:4" ht="30">
      <c r="A4346" s="5" t="str">
        <f>HYPERLINK("https://www.oit.va.gov/Services/TRM/ToolPage.aspx?tid=8887^","Karma-Safari-Launcher")</f>
        <v>Karma-Safari-Launcher</v>
      </c>
      <c r="B4346" s="4" t="s">
        <v>2707</v>
      </c>
      <c r="C4346" s="8" t="s">
        <v>5</v>
      </c>
      <c r="D4346" s="11" t="s">
        <v>2555</v>
      </c>
    </row>
    <row r="4347" spans="1:4" ht="30">
      <c r="A4347" s="5" t="str">
        <f>HYPERLINK("https://www.oit.va.gov/Services/TRM/ToolPage.aspx?tid=10485^","Traverse")</f>
        <v>Traverse</v>
      </c>
      <c r="B4347" s="4" t="s">
        <v>7243</v>
      </c>
      <c r="C4347" s="8" t="s">
        <v>5</v>
      </c>
      <c r="D4347" s="11" t="s">
        <v>7244</v>
      </c>
    </row>
    <row r="4348" spans="1:4" ht="30">
      <c r="A4348" s="5" t="str">
        <f>HYPERLINK("https://www.oit.va.gov/Services/TRM/ToolPage.aspx?tid=7319^","dWinlock")</f>
        <v>dWinlock</v>
      </c>
      <c r="B4348" s="4" t="s">
        <v>7817</v>
      </c>
      <c r="C4348" s="8" t="s">
        <v>5</v>
      </c>
      <c r="D4348" s="11" t="s">
        <v>7409</v>
      </c>
    </row>
    <row r="4349" spans="1:4" ht="30">
      <c r="A4349" s="5" t="str">
        <f>HYPERLINK("https://www.oit.va.gov/Services/TRM/ToolPage.aspx?tid=14291^","VoiceGuide")</f>
        <v>VoiceGuide</v>
      </c>
      <c r="B4349" s="4" t="s">
        <v>2046</v>
      </c>
      <c r="C4349" s="8" t="s">
        <v>5</v>
      </c>
      <c r="D4349" s="11" t="s">
        <v>1932</v>
      </c>
    </row>
    <row r="4350" spans="1:4" ht="30">
      <c r="A4350" s="5" t="str">
        <f>HYPERLINK("https://www.oit.va.gov/Services/TRM/ToolPage.aspx?tid=15693^","CliniView")</f>
        <v>CliniView</v>
      </c>
      <c r="B4350" s="4" t="s">
        <v>1432</v>
      </c>
      <c r="C4350" s="8" t="s">
        <v>5</v>
      </c>
      <c r="D4350" s="11" t="s">
        <v>1433</v>
      </c>
    </row>
    <row r="4351" spans="1:4" ht="30">
      <c r="A4351" s="5" t="str">
        <f>HYPERLINK("https://www.oit.va.gov/Services/TRM/ToolPage.aspx?tid=15115^","SmartScan Studio Manager")</f>
        <v>SmartScan Studio Manager</v>
      </c>
      <c r="B4351" s="4" t="s">
        <v>1432</v>
      </c>
      <c r="C4351" s="8" t="s">
        <v>5</v>
      </c>
      <c r="D4351" s="11" t="s">
        <v>3535</v>
      </c>
    </row>
    <row r="4352" spans="1:4" ht="30">
      <c r="A4352" s="5" t="str">
        <f>HYPERLINK("https://www.oit.va.gov/Services/TRM/ToolPage.aspx?tid=9828^","Keyboard-Mouse Switch")</f>
        <v>Keyboard-Mouse Switch</v>
      </c>
      <c r="B4352" s="4" t="s">
        <v>1179</v>
      </c>
      <c r="C4352" s="8" t="s">
        <v>5</v>
      </c>
      <c r="D4352" s="11" t="s">
        <v>1180</v>
      </c>
    </row>
    <row r="4353" spans="1:4" ht="30">
      <c r="A4353" s="5" t="str">
        <f>HYPERLINK("https://www.oit.va.gov/Services/TRM/ToolPage.aspx?tid=9397^","Test Case Extractor")</f>
        <v>Test Case Extractor</v>
      </c>
      <c r="B4353" s="4" t="s">
        <v>8798</v>
      </c>
      <c r="C4353" s="8" t="s">
        <v>5</v>
      </c>
      <c r="D4353" s="11" t="s">
        <v>5340</v>
      </c>
    </row>
    <row r="4354" spans="1:4" ht="30">
      <c r="A4354" s="5" t="str">
        <f>HYPERLINK("https://www.oit.va.gov/Services/TRM/ToolPage.aspx?tid=10751^","Keiser Air420")</f>
        <v>Keiser Air420</v>
      </c>
      <c r="B4354" s="4" t="s">
        <v>8142</v>
      </c>
      <c r="C4354" s="8" t="s">
        <v>5</v>
      </c>
      <c r="D4354" s="11" t="s">
        <v>3386</v>
      </c>
    </row>
    <row r="4355" spans="1:4" ht="30">
      <c r="A4355" s="5" t="str">
        <f>HYPERLINK("https://www.oit.va.gov/Services/TRM/ToolPage.aspx?tid=16266^","posh-git")</f>
        <v>posh-git</v>
      </c>
      <c r="B4355" s="4" t="s">
        <v>7018</v>
      </c>
      <c r="C4355" s="8" t="s">
        <v>5</v>
      </c>
      <c r="D4355" s="11" t="s">
        <v>2719</v>
      </c>
    </row>
    <row r="4356" spans="1:4" ht="30">
      <c r="A4356" s="5" t="str">
        <f>HYPERLINK("https://www.oit.va.gov/Services/TRM/ToolPage.aspx?tid=7151^","Beanstalk")</f>
        <v>Beanstalk</v>
      </c>
      <c r="B4356" s="4" t="s">
        <v>7543</v>
      </c>
      <c r="C4356" s="8" t="s">
        <v>5</v>
      </c>
      <c r="D4356" s="11" t="s">
        <v>7544</v>
      </c>
    </row>
    <row r="4357" spans="1:4" ht="30">
      <c r="A4357" s="5" t="str">
        <f>HYPERLINK("https://www.oit.va.gov/Services/TRM/ToolPage.aspx?tid=7765^","Keka")</f>
        <v>Keka</v>
      </c>
      <c r="B4357" s="4" t="s">
        <v>6761</v>
      </c>
      <c r="C4357" s="8" t="s">
        <v>5</v>
      </c>
      <c r="D4357" s="11" t="s">
        <v>6762</v>
      </c>
    </row>
    <row r="4358" spans="1:4" ht="30">
      <c r="A4358" s="5" t="str">
        <f>HYPERLINK("https://www.oit.va.gov/Services/TRM/ToolPage.aspx?tid=14504^","Orchestrator Integration Pack for ServiceNow")</f>
        <v>Orchestrator Integration Pack for ServiceNow</v>
      </c>
      <c r="B4358" s="4" t="s">
        <v>5985</v>
      </c>
      <c r="C4358" s="8" t="s">
        <v>5</v>
      </c>
      <c r="D4358" s="11" t="s">
        <v>755</v>
      </c>
    </row>
    <row r="4359" spans="1:4" ht="30">
      <c r="A4359" s="5" t="str">
        <f>HYPERLINK("https://www.oit.va.gov/Services/TRM/ToolPage.aspx?tid=14517^","Orchestrator Integration Pack for Computer Associates (CA) Service Desk")</f>
        <v>Orchestrator Integration Pack for Computer Associates (CA) Service Desk</v>
      </c>
      <c r="B4359" s="4" t="s">
        <v>5985</v>
      </c>
      <c r="C4359" s="8" t="s">
        <v>5</v>
      </c>
      <c r="D4359" s="11" t="s">
        <v>8375</v>
      </c>
    </row>
    <row r="4360" spans="1:4" ht="30">
      <c r="A4360" s="5" t="str">
        <f>HYPERLINK("https://www.oit.va.gov/Services/TRM/ToolPage.aspx?tid=10327^","Requests: HTTP for Humans")</f>
        <v>Requests: HTTP for Humans</v>
      </c>
      <c r="B4360" s="4" t="s">
        <v>7078</v>
      </c>
      <c r="C4360" s="8" t="s">
        <v>5</v>
      </c>
      <c r="D4360" s="11" t="s">
        <v>115</v>
      </c>
    </row>
    <row r="4361" spans="1:4" ht="30">
      <c r="A4361" s="5" t="str">
        <f>HYPERLINK("https://www.oit.va.gov/Services/TRM/ToolPage.aspx?tid=15059^","Kensington DockWorks")</f>
        <v>Kensington DockWorks</v>
      </c>
      <c r="B4361" s="4" t="s">
        <v>6763</v>
      </c>
      <c r="C4361" s="8" t="s">
        <v>5</v>
      </c>
      <c r="D4361" s="11" t="s">
        <v>6764</v>
      </c>
    </row>
    <row r="4362" spans="1:4" ht="30">
      <c r="A4362" s="5" t="str">
        <f>HYPERLINK("https://www.oit.va.gov/Services/TRM/ToolPage.aspx?tid=11427^","TrackballWorks")</f>
        <v>TrackballWorks</v>
      </c>
      <c r="B4362" s="4" t="s">
        <v>6763</v>
      </c>
      <c r="C4362" s="8" t="s">
        <v>5</v>
      </c>
      <c r="D4362" s="11" t="s">
        <v>7238</v>
      </c>
    </row>
    <row r="4363" spans="1:4" ht="30">
      <c r="A4363" s="5" t="str">
        <f>HYPERLINK("https://www.oit.va.gov/Services/TRM/ToolPage.aspx?tid=10476^","Kentico Content Management System (CMS)")</f>
        <v>Kentico Content Management System (CMS)</v>
      </c>
      <c r="B4363" s="4" t="s">
        <v>2711</v>
      </c>
      <c r="C4363" s="8" t="s">
        <v>5</v>
      </c>
      <c r="D4363" s="11" t="s">
        <v>759</v>
      </c>
    </row>
    <row r="4364" spans="1:4" ht="30">
      <c r="A4364" s="5" t="str">
        <f>HYPERLINK("https://www.oit.va.gov/Services/TRM/ToolPage.aspx?tid=16781^","Kentucky`s Open Portal Solution (KyOPS)")</f>
        <v>Kentucky`s Open Portal Solution (KyOPS)</v>
      </c>
      <c r="B4364" s="4" t="s">
        <v>5295</v>
      </c>
      <c r="C4364" s="8" t="s">
        <v>5</v>
      </c>
      <c r="D4364" s="11" t="s">
        <v>5296</v>
      </c>
    </row>
    <row r="4365" spans="1:4" ht="30">
      <c r="A4365" s="5" t="str">
        <f>HYPERLINK("https://www.oit.va.gov/Services/TRM/ToolPage.aspx?tid=11545^","Hypertext Markup Language (HTML) Reporter for Jasmine2 and Protractor")</f>
        <v>Hypertext Markup Language (HTML) Reporter for Jasmine2 and Protractor</v>
      </c>
      <c r="B4365" s="4" t="s">
        <v>4238</v>
      </c>
      <c r="C4365" s="8" t="s">
        <v>5</v>
      </c>
      <c r="D4365" s="11" t="s">
        <v>3330</v>
      </c>
    </row>
    <row r="4366" spans="1:4" ht="30">
      <c r="A4366" s="5" t="str">
        <f>HYPERLINK("https://www.oit.va.gov/Services/TRM/ToolPage.aspx?tid=15039^","Keras")</f>
        <v>Keras</v>
      </c>
      <c r="B4366" s="4" t="s">
        <v>8143</v>
      </c>
      <c r="C4366" s="8" t="s">
        <v>5</v>
      </c>
      <c r="D4366" s="11" t="s">
        <v>8144</v>
      </c>
    </row>
    <row r="4367" spans="1:4" ht="30">
      <c r="A4367" s="5" t="str">
        <f>HYPERLINK("https://www.oit.va.gov/Services/TRM/ToolPage.aspx?tid=16611^","GhostMouse")</f>
        <v>GhostMouse</v>
      </c>
      <c r="B4367" s="4" t="s">
        <v>5211</v>
      </c>
      <c r="C4367" s="8" t="s">
        <v>5</v>
      </c>
      <c r="D4367" s="11" t="s">
        <v>5212</v>
      </c>
    </row>
    <row r="4368" spans="1:4" ht="30">
      <c r="A4368" s="5" t="str">
        <f>HYPERLINK("https://www.oit.va.gov/Services/TRM/ToolPage.aspx?tid=9690^","JsDiff")</f>
        <v>JsDiff</v>
      </c>
      <c r="B4368" s="4" t="s">
        <v>2695</v>
      </c>
      <c r="C4368" s="8" t="s">
        <v>5</v>
      </c>
      <c r="D4368" s="11" t="s">
        <v>2696</v>
      </c>
    </row>
    <row r="4369" spans="1:4" ht="30">
      <c r="A4369" s="5" t="str">
        <f>HYPERLINK("https://www.oit.va.gov/Services/TRM/ToolPage.aspx?tid=7973^","FolderSizes")</f>
        <v>FolderSizes</v>
      </c>
      <c r="B4369" s="4" t="s">
        <v>2607</v>
      </c>
      <c r="C4369" s="8" t="s">
        <v>5</v>
      </c>
      <c r="D4369" s="11" t="s">
        <v>2598</v>
      </c>
    </row>
    <row r="4370" spans="1:4" ht="30">
      <c r="A4370" s="5" t="str">
        <f>HYPERLINK("https://www.oit.va.gov/Services/TRM/ToolPage.aspx?tid=8118^","Key Wizard")</f>
        <v>Key Wizard</v>
      </c>
      <c r="B4370" s="4" t="s">
        <v>2712</v>
      </c>
      <c r="C4370" s="8" t="s">
        <v>5</v>
      </c>
      <c r="D4370" s="11" t="s">
        <v>2713</v>
      </c>
    </row>
    <row r="4371" spans="1:4" ht="30">
      <c r="A4371" s="5" t="str">
        <f>HYPERLINK("https://www.oit.va.gov/Services/TRM/ToolPage.aspx?tid=16598^","BZ-X Analyzer")</f>
        <v>BZ-X Analyzer</v>
      </c>
      <c r="B4371" s="4" t="s">
        <v>1394</v>
      </c>
      <c r="C4371" s="8" t="s">
        <v>5</v>
      </c>
      <c r="D4371" s="11" t="s">
        <v>1395</v>
      </c>
    </row>
    <row r="4372" spans="1:4" ht="30">
      <c r="A4372" s="5" t="str">
        <f>HYPERLINK("https://www.oit.va.gov/Services/TRM/ToolPage.aspx?tid=16599^","BZ-X Viewer")</f>
        <v>BZ-X Viewer</v>
      </c>
      <c r="B4372" s="4" t="s">
        <v>1394</v>
      </c>
      <c r="C4372" s="8" t="s">
        <v>5</v>
      </c>
      <c r="D4372" s="11" t="s">
        <v>1396</v>
      </c>
    </row>
    <row r="4373" spans="1:4" ht="30">
      <c r="A4373" s="5" t="str">
        <f>HYPERLINK("https://www.oit.va.gov/Services/TRM/ToolPage.aspx?tid=16842^","Marking Builder Plus")</f>
        <v>Marking Builder Plus</v>
      </c>
      <c r="B4373" s="4" t="s">
        <v>1394</v>
      </c>
      <c r="C4373" s="8" t="s">
        <v>5</v>
      </c>
      <c r="D4373" s="11" t="s">
        <v>1712</v>
      </c>
    </row>
    <row r="4374" spans="1:4" ht="30">
      <c r="A4374" s="5" t="str">
        <f>HYPERLINK("https://www.oit.va.gov/Services/TRM/ToolPage.aspx?tid=15387^","IV2-Navigator")</f>
        <v>IV2-Navigator</v>
      </c>
      <c r="B4374" s="4" t="s">
        <v>1394</v>
      </c>
      <c r="C4374" s="8" t="s">
        <v>5</v>
      </c>
      <c r="D4374" s="11" t="s">
        <v>3350</v>
      </c>
    </row>
    <row r="4375" spans="1:4" ht="30">
      <c r="A4375" s="5" t="str">
        <f>HYPERLINK("https://www.oit.va.gov/Services/TRM/ToolPage.aspx?tid=16364^","Enterprise JAVA Beans Certificate Authority (EJBCA)")</f>
        <v>Enterprise JAVA Beans Certificate Authority (EJBCA)</v>
      </c>
      <c r="B4375" s="4" t="s">
        <v>4096</v>
      </c>
      <c r="C4375" s="8" t="s">
        <v>5</v>
      </c>
      <c r="D4375" s="11" t="s">
        <v>969</v>
      </c>
    </row>
    <row r="4376" spans="1:4" ht="30">
      <c r="A4376" s="5" t="str">
        <f>HYPERLINK("https://www.oit.va.gov/Services/TRM/ToolPage.aspx?tid=11191^","RapidSpell Web active server page (ASP).NET")</f>
        <v>RapidSpell Web active server page (ASP).NET</v>
      </c>
      <c r="B4376" s="4" t="s">
        <v>104</v>
      </c>
      <c r="C4376" s="8" t="s">
        <v>5</v>
      </c>
      <c r="D4376" s="11" t="s">
        <v>105</v>
      </c>
    </row>
    <row r="4377" spans="1:4" ht="30">
      <c r="A4377" s="5" t="str">
        <f>HYPERLINK("https://www.oit.va.gov/Services/TRM/ToolPage.aspx?tid=9765^","KEYper Electronic Key Management System")</f>
        <v>KEYper Electronic Key Management System</v>
      </c>
      <c r="B4377" s="4" t="s">
        <v>8147</v>
      </c>
      <c r="C4377" s="8" t="s">
        <v>5</v>
      </c>
      <c r="D4377" s="11" t="s">
        <v>3263</v>
      </c>
    </row>
    <row r="4378" spans="1:4" ht="30">
      <c r="A4378" s="5" t="str">
        <f>HYPERLINK("https://www.oit.va.gov/Services/TRM/ToolPage.aspx?tid=13032^","System VII")</f>
        <v>System VII</v>
      </c>
      <c r="B4378" s="4" t="s">
        <v>7205</v>
      </c>
      <c r="C4378" s="8" t="s">
        <v>5</v>
      </c>
      <c r="D4378" s="11" t="s">
        <v>7027</v>
      </c>
    </row>
    <row r="4379" spans="1:4" ht="30">
      <c r="A4379" s="5" t="str">
        <f>HYPERLINK("https://www.oit.va.gov/Services/TRM/ToolPage.aspx?tid=16815^","Keysight Tool IxNetwork")</f>
        <v>Keysight Tool IxNetwork</v>
      </c>
      <c r="B4379" s="4" t="s">
        <v>1678</v>
      </c>
      <c r="C4379" s="8" t="s">
        <v>5</v>
      </c>
      <c r="D4379" s="11" t="s">
        <v>1679</v>
      </c>
    </row>
    <row r="4380" spans="1:4" ht="30">
      <c r="A4380" s="5" t="str">
        <f>HYPERLINK("https://www.oit.va.gov/Services/TRM/ToolPage.aspx?tid=14507^","Eggplant Performance")</f>
        <v>Eggplant Performance</v>
      </c>
      <c r="B4380" s="4" t="s">
        <v>1678</v>
      </c>
      <c r="C4380" s="8" t="s">
        <v>5</v>
      </c>
      <c r="D4380" s="11" t="s">
        <v>2534</v>
      </c>
    </row>
    <row r="4381" spans="1:4" ht="30">
      <c r="A4381" s="5" t="str">
        <f>HYPERLINK("https://www.oit.va.gov/Services/TRM/ToolPage.aspx?tid=14505^","Eggplant Digital Automation Intelligence (DAI)")</f>
        <v>Eggplant Digital Automation Intelligence (DAI)</v>
      </c>
      <c r="B4381" s="4" t="s">
        <v>1678</v>
      </c>
      <c r="C4381" s="8" t="s">
        <v>5</v>
      </c>
      <c r="D4381" s="11" t="s">
        <v>4070</v>
      </c>
    </row>
    <row r="4382" spans="1:4" ht="30">
      <c r="A4382" s="5" t="str">
        <f>HYPERLINK("https://www.oit.va.gov/Services/TRM/ToolPage.aspx?tid=14506^","Eggplant Functional")</f>
        <v>Eggplant Functional</v>
      </c>
      <c r="B4382" s="4" t="s">
        <v>1678</v>
      </c>
      <c r="C4382" s="8" t="s">
        <v>5</v>
      </c>
      <c r="D4382" s="11" t="s">
        <v>4071</v>
      </c>
    </row>
    <row r="4383" spans="1:4" ht="30">
      <c r="A4383" s="5" t="str">
        <f>HYPERLINK("https://www.oit.va.gov/Services/TRM/ToolPage.aspx?tid=16222^","Eggplant Performance Analyzer (EPP)")</f>
        <v>Eggplant Performance Analyzer (EPP)</v>
      </c>
      <c r="B4383" s="4" t="s">
        <v>1678</v>
      </c>
      <c r="C4383" s="8" t="s">
        <v>5</v>
      </c>
      <c r="D4383" s="11" t="s">
        <v>971</v>
      </c>
    </row>
    <row r="4384" spans="1:4" ht="30">
      <c r="A4384" s="5" t="str">
        <f>HYPERLINK("https://www.oit.va.gov/Services/TRM/ToolPage.aspx?tid=16239^","Eggplant Performance Injector")</f>
        <v>Eggplant Performance Injector</v>
      </c>
      <c r="B4384" s="4" t="s">
        <v>1678</v>
      </c>
      <c r="C4384" s="8" t="s">
        <v>5</v>
      </c>
      <c r="D4384" s="11" t="s">
        <v>4073</v>
      </c>
    </row>
    <row r="4385" spans="1:4" ht="30">
      <c r="A4385" s="5" t="str">
        <f>HYPERLINK("https://www.oit.va.gov/Services/TRM/ToolPage.aspx?tid=16181^","Eggplant Runner")</f>
        <v>Eggplant Runner</v>
      </c>
      <c r="B4385" s="4" t="s">
        <v>1678</v>
      </c>
      <c r="C4385" s="8" t="s">
        <v>5</v>
      </c>
      <c r="D4385" s="11" t="s">
        <v>4074</v>
      </c>
    </row>
    <row r="4386" spans="1:4" ht="30">
      <c r="A4386" s="5" t="str">
        <f>HYPERLINK("https://www.oit.va.gov/Services/TRM/ToolPage.aspx?tid=16300^","Eggplant Salesforce Solution")</f>
        <v>Eggplant Salesforce Solution</v>
      </c>
      <c r="B4386" s="4" t="s">
        <v>1678</v>
      </c>
      <c r="C4386" s="8" t="s">
        <v>5</v>
      </c>
      <c r="D4386" s="11" t="s">
        <v>4075</v>
      </c>
    </row>
    <row r="4387" spans="1:4" ht="30">
      <c r="A4387" s="5" t="str">
        <f>HYPERLINK("https://www.oit.va.gov/Services/TRM/ToolPage.aspx?tid=16542^","Keysight Cyperf")</f>
        <v>Keysight Cyperf</v>
      </c>
      <c r="B4387" s="4" t="s">
        <v>1678</v>
      </c>
      <c r="C4387" s="8" t="s">
        <v>5</v>
      </c>
      <c r="D4387" s="11" t="s">
        <v>4295</v>
      </c>
    </row>
    <row r="4388" spans="1:4" ht="30">
      <c r="A4388" s="5" t="str">
        <f>HYPERLINK("https://www.oit.va.gov/Services/TRM/ToolPage.aspx?tid=16810^","Keysight Tool Ix Automated Network Validation LIbrary (ANVL)")</f>
        <v>Keysight Tool Ix Automated Network Validation LIbrary (ANVL)</v>
      </c>
      <c r="B4388" s="4" t="s">
        <v>1678</v>
      </c>
      <c r="C4388" s="8" t="s">
        <v>5</v>
      </c>
      <c r="D4388" s="11" t="s">
        <v>885</v>
      </c>
    </row>
    <row r="4389" spans="1:4" ht="30">
      <c r="A4389" s="5" t="str">
        <f>HYPERLINK("https://www.oit.va.gov/Services/TRM/ToolPage.aspx?tid=16811^","Keysight Tool Ixload")</f>
        <v>Keysight Tool Ixload</v>
      </c>
      <c r="B4389" s="4" t="s">
        <v>1678</v>
      </c>
      <c r="C4389" s="8" t="s">
        <v>5</v>
      </c>
      <c r="D4389" s="11" t="s">
        <v>4328</v>
      </c>
    </row>
    <row r="4390" spans="1:4" ht="30">
      <c r="A4390" s="5" t="str">
        <f>HYPERLINK("https://www.oit.va.gov/Services/TRM/ToolPage.aspx?tid=16818^","Keysight Tool IxVeriWave")</f>
        <v>Keysight Tool IxVeriWave</v>
      </c>
      <c r="B4390" s="4" t="s">
        <v>1678</v>
      </c>
      <c r="C4390" s="8" t="s">
        <v>5</v>
      </c>
      <c r="D4390" s="11" t="s">
        <v>4329</v>
      </c>
    </row>
    <row r="4391" spans="1:4" ht="30">
      <c r="A4391" s="5" t="str">
        <f>HYPERLINK("https://www.oit.va.gov/Services/TRM/ToolPage.aspx?tid=15945^","Eggplant Digital Automation Intelligence (DAI) Agent")</f>
        <v>Eggplant Digital Automation Intelligence (DAI) Agent</v>
      </c>
      <c r="B4391" s="4" t="s">
        <v>1678</v>
      </c>
      <c r="C4391" s="8" t="s">
        <v>5</v>
      </c>
      <c r="D4391" s="11" t="s">
        <v>5785</v>
      </c>
    </row>
    <row r="4392" spans="1:4" ht="30">
      <c r="A4392" s="5" t="str">
        <f>HYPERLINK("https://www.oit.va.gov/Services/TRM/StandardPage.aspx?tid=5191^","Open Graphics Library (OpenGL)")</f>
        <v>Open Graphics Library (OpenGL)</v>
      </c>
      <c r="B4392" s="4" t="s">
        <v>5398</v>
      </c>
      <c r="C4392" s="8" t="s">
        <v>5</v>
      </c>
      <c r="D4392" s="11" t="s">
        <v>5399</v>
      </c>
    </row>
    <row r="4393" spans="1:4" ht="30">
      <c r="A4393" s="5" t="str">
        <f>HYPERLINK("https://www.oit.va.gov/Services/TRM/StandardPage.aspx?tid=13217^","Web Graphics Library (WebGL)")</f>
        <v>Web Graphics Library (WebGL)</v>
      </c>
      <c r="B4393" s="4" t="s">
        <v>5398</v>
      </c>
      <c r="C4393" s="8" t="s">
        <v>5</v>
      </c>
      <c r="D4393" s="11" t="s">
        <v>8912</v>
      </c>
    </row>
    <row r="4394" spans="1:4" ht="30">
      <c r="A4394" s="5" t="str">
        <f>HYPERLINK("https://www.oit.va.gov/Services/TRM/ToolPage.aspx?tid=16179^","Kiali")</f>
        <v>Kiali</v>
      </c>
      <c r="B4394" s="4" t="s">
        <v>5901</v>
      </c>
      <c r="C4394" s="8" t="s">
        <v>5</v>
      </c>
      <c r="D4394" s="11" t="s">
        <v>4433</v>
      </c>
    </row>
    <row r="4395" spans="1:4" ht="30">
      <c r="A4395" s="5" t="str">
        <f>HYPERLINK("https://www.oit.va.gov/Services/TRM/ToolPage.aspx?tid=6981^","Milestones Professional")</f>
        <v>Milestones Professional</v>
      </c>
      <c r="B4395" s="4" t="s">
        <v>4429</v>
      </c>
      <c r="C4395" s="8" t="s">
        <v>5</v>
      </c>
      <c r="D4395" s="11" t="s">
        <v>944</v>
      </c>
    </row>
    <row r="4396" spans="1:4" ht="30">
      <c r="A4396" s="5" t="str">
        <f>HYPERLINK("https://www.oit.va.gov/Services/TRM/ToolPage.aspx?tid=16631^","Kinetisense")</f>
        <v>Kinetisense</v>
      </c>
      <c r="B4396" s="4" t="s">
        <v>4330</v>
      </c>
      <c r="C4396" s="8" t="s">
        <v>5</v>
      </c>
      <c r="D4396" s="11" t="s">
        <v>4331</v>
      </c>
    </row>
    <row r="4397" spans="1:4" ht="30">
      <c r="A4397" s="5" t="str">
        <f>HYPERLINK("https://www.oit.va.gov/Services/TRM/ToolPage.aspx?tid=9740^","Structured Query Language (SQL) Server Integration Services (SSIS) Integration Toolkit for Microsoft Dynamics 365")</f>
        <v>Structured Query Language (SQL) Server Integration Services (SSIS) Integration Toolkit for Microsoft Dynamics 365</v>
      </c>
      <c r="B4397" s="4" t="s">
        <v>1965</v>
      </c>
      <c r="C4397" s="8" t="s">
        <v>5</v>
      </c>
      <c r="D4397" s="11" t="s">
        <v>1966</v>
      </c>
    </row>
    <row r="4398" spans="1:4" ht="30">
      <c r="A4398" s="5" t="str">
        <f>HYPERLINK("https://www.oit.va.gov/Services/TRM/ToolPage.aspx?tid=16396^","Structured Query Language (SQL) Server Integration Services (SSIS) Integration Toolkit for Salesforce")</f>
        <v>Structured Query Language (SQL) Server Integration Services (SSIS) Integration Toolkit for Salesforce</v>
      </c>
      <c r="B4398" s="4" t="s">
        <v>1965</v>
      </c>
      <c r="C4398" s="8" t="s">
        <v>5</v>
      </c>
      <c r="D4398" s="11" t="s">
        <v>8744</v>
      </c>
    </row>
    <row r="4399" spans="1:4" ht="30">
      <c r="A4399" s="5" t="str">
        <f>HYPERLINK("https://www.oit.va.gov/Services/TRM/ToolPage.aspx?tid=10450^","Box Operator")</f>
        <v>Box Operator</v>
      </c>
      <c r="B4399" s="4" t="s">
        <v>6361</v>
      </c>
      <c r="C4399" s="8" t="s">
        <v>5</v>
      </c>
      <c r="D4399" s="11" t="s">
        <v>2387</v>
      </c>
    </row>
    <row r="4400" spans="1:4" ht="30">
      <c r="A4400" s="5" t="str">
        <f>HYPERLINK("https://www.oit.va.gov/Services/TRM/ToolPage.aspx?tid=14073^","KinoConsole")</f>
        <v>KinoConsole</v>
      </c>
      <c r="B4400" s="4" t="s">
        <v>8153</v>
      </c>
      <c r="C4400" s="8" t="s">
        <v>5</v>
      </c>
      <c r="D4400" s="11" t="s">
        <v>8154</v>
      </c>
    </row>
    <row r="4401" spans="1:4" ht="30">
      <c r="A4401" s="5" t="str">
        <f>HYPERLINK("https://www.oit.va.gov/Services/TRM/ToolPage.aspx?tid=16873^","Kinovea")</f>
        <v>Kinovea</v>
      </c>
      <c r="B4401" s="4" t="s">
        <v>2716</v>
      </c>
      <c r="C4401" s="8" t="s">
        <v>5</v>
      </c>
      <c r="D4401" s="11" t="s">
        <v>2717</v>
      </c>
    </row>
    <row r="4402" spans="1:4" ht="30">
      <c r="A4402" s="5" t="str">
        <f>HYPERLINK("https://www.oit.va.gov/Services/TRM/ToolPage.aspx?tid=11290^","KioWare")</f>
        <v>KioWare</v>
      </c>
      <c r="B4402" s="4" t="s">
        <v>6769</v>
      </c>
      <c r="C4402" s="8" t="s">
        <v>5</v>
      </c>
      <c r="D4402" s="11" t="s">
        <v>6770</v>
      </c>
    </row>
    <row r="4403" spans="1:4" ht="30">
      <c r="A4403" s="5" t="str">
        <f>HYPERLINK("https://www.oit.va.gov/Services/TRM/ToolPage.aspx?tid=7436^","FastSum Command Line Edition (CLE)")</f>
        <v>FastSum Command Line Edition (CLE)</v>
      </c>
      <c r="B4403" s="4" t="s">
        <v>6606</v>
      </c>
      <c r="C4403" s="8" t="s">
        <v>5</v>
      </c>
      <c r="D4403" s="11" t="s">
        <v>897</v>
      </c>
    </row>
    <row r="4404" spans="1:4" ht="30">
      <c r="A4404" s="5" t="str">
        <f>HYPERLINK("https://www.oit.va.gov/Services/TRM/ToolPage.aspx?tid=7637^","SleepSign for Animal")</f>
        <v>SleepSign for Animal</v>
      </c>
      <c r="B4404" s="4" t="s">
        <v>3531</v>
      </c>
      <c r="C4404" s="8" t="s">
        <v>5</v>
      </c>
      <c r="D4404" s="11" t="s">
        <v>3532</v>
      </c>
    </row>
    <row r="4405" spans="1:4" ht="30">
      <c r="A4405" s="5" t="str">
        <f>HYPERLINK("https://www.oit.va.gov/Services/TRM/ToolPage.aspx?tid=6980^","Midas Platform")</f>
        <v>Midas Platform</v>
      </c>
      <c r="B4405" s="4" t="s">
        <v>3385</v>
      </c>
      <c r="C4405" s="8" t="s">
        <v>5</v>
      </c>
      <c r="D4405" s="11" t="s">
        <v>3386</v>
      </c>
    </row>
    <row r="4406" spans="1:4" ht="30">
      <c r="A4406" s="5" t="str">
        <f>HYPERLINK("https://www.oit.va.gov/Services/TRM/ToolPage.aspx?tid=6424^","CMake")</f>
        <v>CMake</v>
      </c>
      <c r="B4406" s="4" t="s">
        <v>3385</v>
      </c>
      <c r="C4406" s="8" t="s">
        <v>5</v>
      </c>
      <c r="D4406" s="11" t="s">
        <v>619</v>
      </c>
    </row>
    <row r="4407" spans="1:4" ht="30">
      <c r="A4407" s="5" t="str">
        <f>HYPERLINK("https://www.oit.va.gov/Services/TRM/ToolPage.aspx?tid=6459^","CDash")</f>
        <v>CDash</v>
      </c>
      <c r="B4407" s="4" t="s">
        <v>3385</v>
      </c>
      <c r="C4407" s="8" t="s">
        <v>5</v>
      </c>
      <c r="D4407" s="11" t="s">
        <v>7626</v>
      </c>
    </row>
    <row r="4408" spans="1:4" ht="30">
      <c r="A4408" s="5" t="str">
        <f>HYPERLINK("https://www.oit.va.gov/Services/TRM/ToolPage.aspx?tid=14852^","ParaView")</f>
        <v>ParaView</v>
      </c>
      <c r="B4408" s="4" t="s">
        <v>3385</v>
      </c>
      <c r="C4408" s="8" t="s">
        <v>5</v>
      </c>
      <c r="D4408" s="11" t="s">
        <v>6828</v>
      </c>
    </row>
    <row r="4409" spans="1:4" ht="30">
      <c r="A4409" s="5" t="str">
        <f>HYPERLINK("https://www.oit.va.gov/Services/TRM/ToolPage.aspx?tid=10569^","Secure Download Manager")</f>
        <v>Secure Download Manager</v>
      </c>
      <c r="B4409" s="4" t="s">
        <v>8609</v>
      </c>
      <c r="C4409" s="8" t="s">
        <v>5</v>
      </c>
      <c r="D4409" s="11" t="s">
        <v>5524</v>
      </c>
    </row>
    <row r="4410" spans="1:4" ht="30">
      <c r="A4410" s="5" t="str">
        <f>HYPERLINK("https://www.oit.va.gov/Services/TRM/ToolPage.aspx?tid=9555^","KiXtart")</f>
        <v>KiXtart</v>
      </c>
      <c r="B4410" s="4" t="s">
        <v>5298</v>
      </c>
      <c r="C4410" s="8" t="s">
        <v>5</v>
      </c>
      <c r="D4410" s="11" t="s">
        <v>5299</v>
      </c>
    </row>
    <row r="4411" spans="1:4" ht="30">
      <c r="A4411" s="5" t="str">
        <f>HYPERLINK("https://www.oit.va.gov/Services/TRM/ToolPage.aspx?tid=13967^","Kleen Edge Curtain Protocol")</f>
        <v>Kleen Edge Curtain Protocol</v>
      </c>
      <c r="B4411" s="4" t="s">
        <v>8156</v>
      </c>
      <c r="C4411" s="8" t="s">
        <v>5</v>
      </c>
      <c r="D4411" s="11" t="s">
        <v>5299</v>
      </c>
    </row>
    <row r="4412" spans="1:4" ht="30">
      <c r="A4412" s="5" t="str">
        <f>HYPERLINK("https://www.oit.va.gov/Services/TRM/ToolPage.aspx?tid=13207^","Katalon Studio")</f>
        <v>Katalon Studio</v>
      </c>
      <c r="B4412" s="4" t="s">
        <v>4326</v>
      </c>
      <c r="C4412" s="8" t="s">
        <v>5</v>
      </c>
      <c r="D4412" s="11" t="s">
        <v>4327</v>
      </c>
    </row>
    <row r="4413" spans="1:4" ht="30">
      <c r="A4413" s="5" t="str">
        <f>HYPERLINK("https://www.oit.va.gov/Services/TRM/ToolPage.aspx?tid=10098^","RealFlight")</f>
        <v>RealFlight</v>
      </c>
      <c r="B4413" s="4" t="s">
        <v>8538</v>
      </c>
      <c r="C4413" s="8" t="s">
        <v>5</v>
      </c>
      <c r="D4413" s="11" t="s">
        <v>8539</v>
      </c>
    </row>
    <row r="4414" spans="1:4" ht="30">
      <c r="A4414" s="5" t="str">
        <f>HYPERLINK("https://www.oit.va.gov/Services/TRM/ToolPage.aspx?tid=11273^","Konstanz Information Miner (KNIME) Analytics Platform")</f>
        <v>Konstanz Information Miner (KNIME) Analytics Platform</v>
      </c>
      <c r="B4414" s="4" t="s">
        <v>2722</v>
      </c>
      <c r="C4414" s="8" t="s">
        <v>5</v>
      </c>
      <c r="D4414" s="11" t="s">
        <v>1652</v>
      </c>
    </row>
    <row r="4415" spans="1:4" ht="30">
      <c r="A4415" s="5" t="str">
        <f>HYPERLINK("https://www.oit.va.gov/Services/TRM/ToolPage.aspx?tid=10677^","Knowledge Based_Structured Query Language (KB_SQL)")</f>
        <v>Knowledge Based_Structured Query Language (KB_SQL)</v>
      </c>
      <c r="B4415" s="4" t="s">
        <v>56</v>
      </c>
      <c r="C4415" s="8" t="s">
        <v>5</v>
      </c>
      <c r="D4415" s="11" t="s">
        <v>57</v>
      </c>
    </row>
    <row r="4416" spans="1:4" ht="30">
      <c r="A4416" s="5" t="str">
        <f>HYPERLINK("https://www.oit.va.gov/Services/TRM/ToolPage.aspx?tid=10206^","Unit Modeler Application Runner")</f>
        <v>Unit Modeler Application Runner</v>
      </c>
      <c r="B4416" s="4" t="s">
        <v>2196</v>
      </c>
      <c r="C4416" s="8" t="s">
        <v>5</v>
      </c>
      <c r="D4416" s="11" t="s">
        <v>2197</v>
      </c>
    </row>
    <row r="4417" spans="1:4" ht="30">
      <c r="A4417" s="5" t="str">
        <f>HYPERLINK("https://www.oit.va.gov/Services/TRM/ToolPage.aspx?tid=10067^","Echo Test and Teach")</f>
        <v>Echo Test and Teach</v>
      </c>
      <c r="B4417" s="4" t="s">
        <v>2196</v>
      </c>
      <c r="C4417" s="8" t="s">
        <v>5</v>
      </c>
      <c r="D4417" s="11" t="s">
        <v>3334</v>
      </c>
    </row>
    <row r="4418" spans="1:4" ht="30">
      <c r="A4418" s="5" t="str">
        <f>HYPERLINK("https://www.oit.va.gov/Services/TRM/ToolPage.aspx?tid=6115^","QI Macros")</f>
        <v>QI Macros</v>
      </c>
      <c r="B4418" s="4" t="s">
        <v>2894</v>
      </c>
      <c r="C4418" s="8" t="s">
        <v>5</v>
      </c>
      <c r="D4418" s="11" t="s">
        <v>2895</v>
      </c>
    </row>
    <row r="4419" spans="1:4" ht="30">
      <c r="A4419" s="5" t="str">
        <f>HYPERLINK("https://www.oit.va.gov/Services/TRM/ToolPage.aspx?tid=10912^","Koa")</f>
        <v>Koa</v>
      </c>
      <c r="B4419" s="4" t="s">
        <v>1181</v>
      </c>
      <c r="C4419" s="8" t="s">
        <v>5</v>
      </c>
      <c r="D4419" s="11" t="s">
        <v>1182</v>
      </c>
    </row>
    <row r="4420" spans="1:4" ht="30">
      <c r="A4420" s="5" t="str">
        <f>HYPERLINK("https://www.oit.va.gov/Services/TRM/ToolPage.aspx?tid=5891^","CCScore")</f>
        <v>CCScore</v>
      </c>
      <c r="B4420" s="4" t="s">
        <v>7625</v>
      </c>
      <c r="C4420" s="8" t="s">
        <v>5</v>
      </c>
      <c r="D4420" s="11" t="s">
        <v>7608</v>
      </c>
    </row>
    <row r="4421" spans="1:4" ht="30">
      <c r="A4421" s="5" t="str">
        <f>HYPERLINK("https://www.oit.va.gov/Services/TRM/ToolPage.aspx?tid=10462^","Kodak Alaris Capture Pro Software")</f>
        <v>Kodak Alaris Capture Pro Software</v>
      </c>
      <c r="B4421" s="4" t="s">
        <v>2718</v>
      </c>
      <c r="C4421" s="8" t="s">
        <v>5</v>
      </c>
      <c r="D4421" s="11" t="s">
        <v>2719</v>
      </c>
    </row>
    <row r="4422" spans="1:4" ht="30">
      <c r="A4422" s="5" t="str">
        <f>HYPERLINK("https://www.oit.va.gov/Services/TRM/ToolPage.aspx?tid=12876^","Kodak Smart Touch Export Tool")</f>
        <v>Kodak Smart Touch Export Tool</v>
      </c>
      <c r="B4422" s="4" t="s">
        <v>2718</v>
      </c>
      <c r="C4422" s="8" t="s">
        <v>5</v>
      </c>
      <c r="D4422" s="11" t="s">
        <v>4035</v>
      </c>
    </row>
    <row r="4423" spans="1:4" ht="30">
      <c r="A4423" s="5" t="str">
        <f>HYPERLINK("https://www.oit.va.gov/Services/TRM/ToolPage.aspx?tid=15632^","Koerber (K&amp;#246;rber) Supply Chain K Motion Warehouse Advantage")</f>
        <v>Koerber (K&amp;#246;rber) Supply Chain K Motion Warehouse Advantage</v>
      </c>
      <c r="B4423" s="4" t="s">
        <v>2720</v>
      </c>
      <c r="C4423" s="8" t="s">
        <v>5</v>
      </c>
      <c r="D4423" s="11" t="s">
        <v>2721</v>
      </c>
    </row>
    <row r="4424" spans="1:4" ht="30">
      <c r="A4424" s="5" t="str">
        <f>HYPERLINK("https://www.oit.va.gov/Services/TRM/ToolPage.aspx?tid=6763^","Kofax Capture")</f>
        <v>Kofax Capture</v>
      </c>
      <c r="B4424" s="4" t="s">
        <v>89</v>
      </c>
      <c r="C4424" s="8" t="s">
        <v>5</v>
      </c>
      <c r="D4424" s="11" t="s">
        <v>90</v>
      </c>
    </row>
    <row r="4425" spans="1:4" ht="30">
      <c r="A4425" s="5" t="str">
        <f>HYPERLINK("https://www.oit.va.gov/Services/TRM/ToolPage.aspx?tid=7055^","Kofax Transformation Modules (KTM)")</f>
        <v>Kofax Transformation Modules (KTM)</v>
      </c>
      <c r="B4425" s="4" t="s">
        <v>89</v>
      </c>
      <c r="C4425" s="8" t="s">
        <v>5</v>
      </c>
      <c r="D4425" s="11" t="s">
        <v>227</v>
      </c>
    </row>
    <row r="4426" spans="1:4" ht="30">
      <c r="A4426" s="5" t="str">
        <f>HYPERLINK("https://www.oit.va.gov/Services/TRM/ToolPage.aspx?tid=5681^","OmniPage")</f>
        <v>OmniPage</v>
      </c>
      <c r="B4426" s="4" t="s">
        <v>89</v>
      </c>
      <c r="C4426" s="8" t="s">
        <v>5</v>
      </c>
      <c r="D4426" s="11" t="s">
        <v>1068</v>
      </c>
    </row>
    <row r="4427" spans="1:4" ht="30">
      <c r="A4427" s="5" t="str">
        <f>HYPERLINK("https://www.oit.va.gov/Services/TRM/ToolPage.aspx?tid=5685^","PaperPort")</f>
        <v>PaperPort</v>
      </c>
      <c r="B4427" s="4" t="s">
        <v>89</v>
      </c>
      <c r="C4427" s="8" t="s">
        <v>5</v>
      </c>
      <c r="D4427" s="11" t="s">
        <v>1074</v>
      </c>
    </row>
    <row r="4428" spans="1:4" ht="30">
      <c r="A4428" s="5" t="str">
        <f>HYPERLINK("https://www.oit.va.gov/Services/TRM/ToolPage.aspx?tid=7672^","AutoStore")</f>
        <v>AutoStore</v>
      </c>
      <c r="B4428" s="4" t="s">
        <v>89</v>
      </c>
      <c r="C4428" s="8" t="s">
        <v>5</v>
      </c>
      <c r="D4428" s="11" t="s">
        <v>953</v>
      </c>
    </row>
    <row r="4429" spans="1:4" ht="30">
      <c r="A4429" s="5" t="str">
        <f>HYPERLINK("https://www.oit.va.gov/Services/TRM/ToolPage.aspx?tid=5958^","eCopy ShareScan")</f>
        <v>eCopy ShareScan</v>
      </c>
      <c r="B4429" s="4" t="s">
        <v>89</v>
      </c>
      <c r="C4429" s="8" t="s">
        <v>5</v>
      </c>
      <c r="D4429" s="11" t="s">
        <v>2243</v>
      </c>
    </row>
    <row r="4430" spans="1:4" ht="30">
      <c r="A4430" s="5" t="str">
        <f>HYPERLINK("https://www.oit.va.gov/Services/TRM/ToolPage.aspx?tid=10161^","ReadSoft Invoices")</f>
        <v>ReadSoft Invoices</v>
      </c>
      <c r="B4430" s="4" t="s">
        <v>89</v>
      </c>
      <c r="C4430" s="8" t="s">
        <v>5</v>
      </c>
      <c r="D4430" s="11" t="s">
        <v>2306</v>
      </c>
    </row>
    <row r="4431" spans="1:4" ht="30">
      <c r="A4431" s="5" t="str">
        <f>HYPERLINK("https://www.oit.va.gov/Services/TRM/ToolPage.aspx?tid=10440^","Com4j")</f>
        <v>Com4j</v>
      </c>
      <c r="B4431" s="4" t="s">
        <v>7676</v>
      </c>
      <c r="C4431" s="8" t="s">
        <v>5</v>
      </c>
      <c r="D4431" s="11" t="s">
        <v>7677</v>
      </c>
    </row>
    <row r="4432" spans="1:4" ht="30">
      <c r="A4432" s="5" t="str">
        <f>HYPERLINK("https://www.oit.va.gov/Services/TRM/ToolPage.aspx?tid=7732^","Universal Serial Bus (USB) Phone 2 Personal Computer (PC)")</f>
        <v>Universal Serial Bus (USB) Phone 2 Personal Computer (PC)</v>
      </c>
      <c r="B4432" s="4" t="s">
        <v>8852</v>
      </c>
      <c r="C4432" s="8" t="s">
        <v>5</v>
      </c>
      <c r="D4432" s="11" t="s">
        <v>6958</v>
      </c>
    </row>
    <row r="4433" spans="1:4" ht="30">
      <c r="A4433" s="5" t="str">
        <f>HYPERLINK("https://www.oit.va.gov/Services/TRM/ToolPage.aspx?tid=14232^","Kong Gateway")</f>
        <v>Kong Gateway</v>
      </c>
      <c r="B4433" s="4" t="s">
        <v>1680</v>
      </c>
      <c r="C4433" s="8" t="s">
        <v>5</v>
      </c>
      <c r="D4433" s="11" t="s">
        <v>399</v>
      </c>
    </row>
    <row r="4434" spans="1:4" ht="30">
      <c r="A4434" s="5" t="str">
        <f>HYPERLINK("https://www.oit.va.gov/Services/TRM/ToolPage.aspx?tid=16780^","Insomnia")</f>
        <v>Insomnia</v>
      </c>
      <c r="B4434" s="4" t="s">
        <v>1680</v>
      </c>
      <c r="C4434" s="8" t="s">
        <v>5</v>
      </c>
      <c r="D4434" s="11" t="s">
        <v>4264</v>
      </c>
    </row>
    <row r="4435" spans="1:4" ht="30">
      <c r="A4435" s="5" t="str">
        <f>HYPERLINK("https://www.oit.va.gov/Services/TRM/ToolPage.aspx?tid=14615^","Konga")</f>
        <v>Konga</v>
      </c>
      <c r="B4435" s="4" t="s">
        <v>4333</v>
      </c>
      <c r="C4435" s="8" t="s">
        <v>5</v>
      </c>
      <c r="D4435" s="11" t="s">
        <v>1620</v>
      </c>
    </row>
    <row r="4436" spans="1:4" ht="30">
      <c r="A4436" s="5" t="str">
        <f>HYPERLINK("https://www.oit.va.gov/Services/TRM/ToolPage.aspx?tid=13748^","Dispatcher Phoenix Government")</f>
        <v>Dispatcher Phoenix Government</v>
      </c>
      <c r="B4436" s="4" t="s">
        <v>6527</v>
      </c>
      <c r="C4436" s="8" t="s">
        <v>5</v>
      </c>
      <c r="D4436" s="11" t="s">
        <v>648</v>
      </c>
    </row>
    <row r="4437" spans="1:4" ht="30">
      <c r="A4437" s="5" t="str">
        <f>HYPERLINK("https://www.oit.va.gov/Services/TRM/ToolPage.aspx?tid=8610^","PageScope Net Care Device Manager")</f>
        <v>PageScope Net Care Device Manager</v>
      </c>
      <c r="B4437" s="4" t="s">
        <v>6527</v>
      </c>
      <c r="C4437" s="8" t="s">
        <v>5</v>
      </c>
      <c r="D4437" s="11" t="s">
        <v>2265</v>
      </c>
    </row>
    <row r="4438" spans="1:4" ht="30">
      <c r="A4438" s="5" t="str">
        <f>HYPERLINK("https://www.oit.va.gov/Services/TRM/ToolPage.aspx?tid=6895^","cc-Modeler")</f>
        <v>cc-Modeler</v>
      </c>
      <c r="B4438" s="4" t="s">
        <v>1150</v>
      </c>
      <c r="C4438" s="8" t="s">
        <v>5</v>
      </c>
      <c r="D4438" s="11" t="s">
        <v>416</v>
      </c>
    </row>
    <row r="4439" spans="1:4" ht="30">
      <c r="A4439" s="5" t="str">
        <f>HYPERLINK("https://www.oit.va.gov/Services/TRM/ToolPage.aspx?tid=15625^","Korbyt Anywhere")</f>
        <v>Korbyt Anywhere</v>
      </c>
      <c r="B4439" s="4" t="s">
        <v>741</v>
      </c>
      <c r="C4439" s="8" t="s">
        <v>5</v>
      </c>
      <c r="D4439" s="11" t="s">
        <v>742</v>
      </c>
    </row>
    <row r="4440" spans="1:4" ht="30">
      <c r="A4440" s="5" t="str">
        <f>HYPERLINK("https://www.oit.va.gov/Services/TRM/ToolPage.aspx?tid=16857^","Smart-V-Link Vascular Testing Software")</f>
        <v>Smart-V-Link Vascular Testing Software</v>
      </c>
      <c r="B4440" s="4" t="s">
        <v>1934</v>
      </c>
      <c r="C4440" s="8" t="s">
        <v>5</v>
      </c>
      <c r="D4440" s="11" t="s">
        <v>1935</v>
      </c>
    </row>
    <row r="4441" spans="1:4" ht="30">
      <c r="A4441" s="5" t="str">
        <f>HYPERLINK("https://www.oit.va.gov/Services/TRM/ToolPage.aspx?tid=6031^","LOGICARE")</f>
        <v>LOGICARE</v>
      </c>
      <c r="B4441" s="4" t="s">
        <v>5921</v>
      </c>
      <c r="C4441" s="8" t="s">
        <v>5</v>
      </c>
      <c r="D4441" s="11" t="s">
        <v>5922</v>
      </c>
    </row>
    <row r="4442" spans="1:4" ht="30">
      <c r="A4442" s="5" t="str">
        <f>HYPERLINK("https://www.oit.va.gov/Services/TRM/ToolPage.aspx?tid=7423^","DocuTransfer")</f>
        <v>DocuTransfer</v>
      </c>
      <c r="B4442" s="4" t="s">
        <v>7786</v>
      </c>
      <c r="C4442" s="8" t="s">
        <v>5</v>
      </c>
      <c r="D4442" s="11" t="s">
        <v>7787</v>
      </c>
    </row>
    <row r="4443" spans="1:4" ht="30">
      <c r="A4443" s="5" t="str">
        <f>HYPERLINK("https://www.oit.va.gov/Services/TRM/ToolPage.aspx?tid=14736^","freeFTPd")</f>
        <v>freeFTPd</v>
      </c>
      <c r="B4443" s="4" t="s">
        <v>7957</v>
      </c>
      <c r="C4443" s="8" t="s">
        <v>5</v>
      </c>
      <c r="D4443" s="11" t="s">
        <v>7958</v>
      </c>
    </row>
    <row r="4444" spans="1:4" ht="30">
      <c r="A4444" s="5" t="str">
        <f>HYPERLINK("https://www.oit.va.gov/Services/TRM/ToolPage.aspx?tid=7351^","OpenSpecimen")</f>
        <v>OpenSpecimen</v>
      </c>
      <c r="B4444" s="4" t="s">
        <v>4553</v>
      </c>
      <c r="C4444" s="8" t="s">
        <v>5</v>
      </c>
      <c r="D4444" s="11" t="s">
        <v>529</v>
      </c>
    </row>
    <row r="4445" spans="1:4" ht="30">
      <c r="A4445" s="5" t="str">
        <f>HYPERLINK("https://www.oit.va.gov/Services/TRM/ToolPage.aspx?tid=12823^","Sumatra PDF")</f>
        <v>Sumatra PDF</v>
      </c>
      <c r="B4445" s="4" t="s">
        <v>8756</v>
      </c>
      <c r="C4445" s="8" t="s">
        <v>5</v>
      </c>
      <c r="D4445" s="11" t="s">
        <v>8757</v>
      </c>
    </row>
    <row r="4446" spans="1:4" ht="30">
      <c r="A4446" s="5" t="str">
        <f>HYPERLINK("https://www.oit.va.gov/Services/TRM/ToolPage.aspx?tid=15662^","Easy Auto Refresh Browser Extension")</f>
        <v>Easy Auto Refresh Browser Extension</v>
      </c>
      <c r="B4446" s="4" t="s">
        <v>7825</v>
      </c>
      <c r="C4446" s="8" t="s">
        <v>5</v>
      </c>
      <c r="D4446" s="11" t="s">
        <v>7826</v>
      </c>
    </row>
    <row r="4447" spans="1:4" ht="30">
      <c r="A4447" s="5" t="str">
        <f>HYPERLINK("https://www.oit.va.gov/Services/TRM/ToolPage.aspx?tid=15071^","KubeCost")</f>
        <v>KubeCost</v>
      </c>
      <c r="B4447" s="4" t="s">
        <v>4336</v>
      </c>
      <c r="C4447" s="8" t="s">
        <v>5</v>
      </c>
      <c r="D4447" s="11" t="s">
        <v>4337</v>
      </c>
    </row>
    <row r="4448" spans="1:4" ht="30">
      <c r="A4448" s="5" t="str">
        <f>HYPERLINK("https://www.oit.va.gov/Services/TRM/ToolPage.aspx?tid=11815^","Kubernetes")</f>
        <v>Kubernetes</v>
      </c>
      <c r="B4448" s="4" t="s">
        <v>743</v>
      </c>
      <c r="C4448" s="8" t="s">
        <v>5</v>
      </c>
      <c r="D4448" s="11" t="s">
        <v>744</v>
      </c>
    </row>
    <row r="4449" spans="1:4" ht="30">
      <c r="A4449" s="5" t="str">
        <f>HYPERLINK("https://www.oit.va.gov/Services/TRM/ToolPage.aspx?tid=15004^","Kubernetes Command-Line Tool (kubectl)")</f>
        <v>Kubernetes Command-Line Tool (kubectl)</v>
      </c>
      <c r="B4449" s="4" t="s">
        <v>743</v>
      </c>
      <c r="C4449" s="8" t="s">
        <v>5</v>
      </c>
      <c r="D4449" s="11" t="s">
        <v>4339</v>
      </c>
    </row>
    <row r="4450" spans="1:4" ht="30">
      <c r="A4450" s="5" t="str">
        <f>HYPERLINK("https://www.oit.va.gov/Services/TRM/ToolPage.aspx?tid=16194^","Kubernetes Metrics-Server")</f>
        <v>Kubernetes Metrics-Server</v>
      </c>
      <c r="B4450" s="4" t="s">
        <v>743</v>
      </c>
      <c r="C4450" s="8" t="s">
        <v>5</v>
      </c>
      <c r="D4450" s="11" t="s">
        <v>4340</v>
      </c>
    </row>
    <row r="4451" spans="1:4" ht="30">
      <c r="A4451" s="5" t="str">
        <f>HYPERLINK("https://www.oit.va.gov/Services/TRM/ToolPage.aspx?tid=15730^","Kustomize")</f>
        <v>Kustomize</v>
      </c>
      <c r="B4451" s="4" t="s">
        <v>743</v>
      </c>
      <c r="C4451" s="8" t="s">
        <v>5</v>
      </c>
      <c r="D4451" s="11" t="s">
        <v>6772</v>
      </c>
    </row>
    <row r="4452" spans="1:4" ht="30">
      <c r="A4452" s="5" t="str">
        <f>HYPERLINK("https://www.oit.va.gov/Services/TRM/ToolPage.aspx?tid=8330^","Kubios Heart Rate Variability (HRV) Scientific")</f>
        <v>Kubios Heart Rate Variability (HRV) Scientific</v>
      </c>
      <c r="B4452" s="4" t="s">
        <v>4341</v>
      </c>
      <c r="C4452" s="8" t="s">
        <v>5</v>
      </c>
      <c r="D4452" s="11" t="s">
        <v>4342</v>
      </c>
    </row>
    <row r="4453" spans="1:4" ht="30">
      <c r="A4453" s="5" t="str">
        <f>HYPERLINK("https://www.oit.va.gov/Services/TRM/ToolPage.aspx?tid=9056^","Kurzweil 1000")</f>
        <v>Kurzweil 1000</v>
      </c>
      <c r="B4453" s="4" t="s">
        <v>2723</v>
      </c>
      <c r="C4453" s="8" t="s">
        <v>5</v>
      </c>
      <c r="D4453" s="11" t="s">
        <v>716</v>
      </c>
    </row>
    <row r="4454" spans="1:4" ht="30">
      <c r="A4454" s="5" t="str">
        <f>HYPERLINK("https://www.oit.va.gov/Services/TRM/ToolPage.aspx?tid=11605^","Kurzweil 3000")</f>
        <v>Kurzweil 3000</v>
      </c>
      <c r="B4454" s="4" t="s">
        <v>2723</v>
      </c>
      <c r="C4454" s="8" t="s">
        <v>5</v>
      </c>
      <c r="D4454" s="11" t="s">
        <v>2724</v>
      </c>
    </row>
    <row r="4455" spans="1:4" ht="30">
      <c r="A4455" s="5" t="str">
        <f>HYPERLINK("https://www.oit.va.gov/Services/TRM/ToolPage.aspx?tid=6905^","KWizCom Calendar Plus Web Part")</f>
        <v>KWizCom Calendar Plus Web Part</v>
      </c>
      <c r="B4455" s="4" t="s">
        <v>8160</v>
      </c>
      <c r="C4455" s="8" t="s">
        <v>5</v>
      </c>
      <c r="D4455" s="11" t="s">
        <v>8161</v>
      </c>
    </row>
    <row r="4456" spans="1:4" ht="30">
      <c r="A4456" s="5" t="str">
        <f>HYPERLINK("https://www.oit.va.gov/Services/TRM/ToolPage.aspx?tid=6902^","KWizCom Cascading Lookup Plus Field Types")</f>
        <v>KWizCom Cascading Lookup Plus Field Types</v>
      </c>
      <c r="B4456" s="4" t="s">
        <v>8160</v>
      </c>
      <c r="C4456" s="8" t="s">
        <v>5</v>
      </c>
      <c r="D4456" s="11" t="s">
        <v>8162</v>
      </c>
    </row>
    <row r="4457" spans="1:4" ht="30">
      <c r="A4457" s="5" t="str">
        <f>HYPERLINK("https://www.oit.va.gov/Services/TRM/ToolPage.aspx?tid=6904^","KWizCom Forms")</f>
        <v>KWizCom Forms</v>
      </c>
      <c r="B4457" s="4" t="s">
        <v>8160</v>
      </c>
      <c r="C4457" s="8" t="s">
        <v>5</v>
      </c>
      <c r="D4457" s="11" t="s">
        <v>8162</v>
      </c>
    </row>
    <row r="4458" spans="1:4" ht="30">
      <c r="A4458" s="5" t="str">
        <f>HYPERLINK("https://www.oit.va.gov/Services/TRM/ToolPage.aspx?tid=6903^","KWizCom List Aggregator")</f>
        <v>KWizCom List Aggregator</v>
      </c>
      <c r="B4458" s="4" t="s">
        <v>8160</v>
      </c>
      <c r="C4458" s="8" t="s">
        <v>5</v>
      </c>
      <c r="D4458" s="11" t="s">
        <v>8163</v>
      </c>
    </row>
    <row r="4459" spans="1:4" ht="30">
      <c r="A4459" s="5" t="str">
        <f>HYPERLINK("https://www.oit.va.gov/Services/TRM/ToolPage.aspx?tid=6935^","KWizCom List Filter Plus Web Part")</f>
        <v>KWizCom List Filter Plus Web Part</v>
      </c>
      <c r="B4459" s="4" t="s">
        <v>8160</v>
      </c>
      <c r="C4459" s="8" t="s">
        <v>5</v>
      </c>
      <c r="D4459" s="11" t="s">
        <v>8163</v>
      </c>
    </row>
    <row r="4460" spans="1:4" ht="30">
      <c r="A4460" s="5" t="str">
        <f>HYPERLINK("https://www.oit.va.gov/Services/TRM/ToolPage.aspx?tid=6906^","KWizCom Workflow Activity Toolkit")</f>
        <v>KWizCom Workflow Activity Toolkit</v>
      </c>
      <c r="B4460" s="4" t="s">
        <v>8160</v>
      </c>
      <c r="C4460" s="8" t="s">
        <v>5</v>
      </c>
      <c r="D4460" s="11" t="s">
        <v>3357</v>
      </c>
    </row>
    <row r="4461" spans="1:4" ht="30">
      <c r="A4461" s="5" t="str">
        <f>HYPERLINK("https://www.oit.va.gov/Services/TRM/ToolPage.aspx?tid=10842^","PinPoint Scan")</f>
        <v>PinPoint Scan</v>
      </c>
      <c r="B4461" s="4" t="s">
        <v>5999</v>
      </c>
      <c r="C4461" s="8" t="s">
        <v>5</v>
      </c>
      <c r="D4461" s="11" t="s">
        <v>1802</v>
      </c>
    </row>
    <row r="4462" spans="1:4" ht="30">
      <c r="A4462" s="5" t="str">
        <f>HYPERLINK("https://www.oit.va.gov/Services/TRM/ToolPage.aspx?tid=11513^","SimulCAT")</f>
        <v>SimulCAT</v>
      </c>
      <c r="B4462" s="4" t="s">
        <v>2184</v>
      </c>
      <c r="C4462" s="8" t="s">
        <v>5</v>
      </c>
      <c r="D4462" s="11" t="s">
        <v>2185</v>
      </c>
    </row>
    <row r="4463" spans="1:4" ht="30">
      <c r="A4463" s="5" t="str">
        <f>HYPERLINK("https://www.oit.va.gov/Services/TRM/ToolPage.aspx?tid=13675^","LabelSuite")</f>
        <v>LabelSuite</v>
      </c>
      <c r="B4463" s="4" t="s">
        <v>6774</v>
      </c>
      <c r="C4463" s="8" t="s">
        <v>5</v>
      </c>
      <c r="D4463" s="11" t="s">
        <v>6775</v>
      </c>
    </row>
    <row r="4464" spans="1:4" ht="30">
      <c r="A4464" s="5" t="str">
        <f>HYPERLINK("https://www.oit.va.gov/Services/TRM/ToolPage.aspx?tid=7354^","LABLION Laboratory Information System (LIS)")</f>
        <v>LABLION Laboratory Information System (LIS)</v>
      </c>
      <c r="B4464" s="4" t="s">
        <v>5902</v>
      </c>
      <c r="C4464" s="8" t="s">
        <v>5</v>
      </c>
      <c r="D4464" s="11" t="s">
        <v>4875</v>
      </c>
    </row>
    <row r="4465" spans="1:4" ht="30">
      <c r="A4465" s="5" t="str">
        <f>HYPERLINK("https://www.oit.va.gov/Services/TRM/ToolPage.aspx?tid=16773^","MikroWin 300 SL")</f>
        <v>MikroWin 300 SL</v>
      </c>
      <c r="B4465" s="4" t="s">
        <v>1742</v>
      </c>
      <c r="C4465" s="8" t="s">
        <v>5</v>
      </c>
      <c r="D4465" s="11" t="s">
        <v>1743</v>
      </c>
    </row>
    <row r="4466" spans="1:4" ht="30">
      <c r="A4466" s="5" t="str">
        <f>HYPERLINK("https://www.oit.va.gov/Services/TRM/ToolPage.aspx?tid=10188^","Hidex Automatic Gamma Counter (AMG) Software")</f>
        <v>Hidex Automatic Gamma Counter (AMG) Software</v>
      </c>
      <c r="B4466" s="4" t="s">
        <v>1742</v>
      </c>
      <c r="C4466" s="8" t="s">
        <v>5</v>
      </c>
      <c r="D4466" s="11" t="s">
        <v>131</v>
      </c>
    </row>
    <row r="4467" spans="1:4" ht="30">
      <c r="A4467" s="5" t="str">
        <f>HYPERLINK("https://www.oit.va.gov/Services/TRM/ToolPage.aspx?tid=11590^","Pmetrics")</f>
        <v>Pmetrics</v>
      </c>
      <c r="B4467" s="4" t="s">
        <v>7009</v>
      </c>
      <c r="C4467" s="8" t="s">
        <v>5</v>
      </c>
      <c r="D4467" s="11" t="s">
        <v>804</v>
      </c>
    </row>
    <row r="4468" spans="1:4" ht="30">
      <c r="A4468" s="5" t="str">
        <f>HYPERLINK("https://www.oit.va.gov/Services/TRM/ToolPage.aspx?tid=11588^","BestDose")</f>
        <v>BestDose</v>
      </c>
      <c r="B4468" s="4" t="s">
        <v>7009</v>
      </c>
      <c r="C4468" s="8" t="s">
        <v>5</v>
      </c>
      <c r="D4468" s="11" t="s">
        <v>4907</v>
      </c>
    </row>
    <row r="4469" spans="1:4" ht="30">
      <c r="A4469" s="5" t="str">
        <f>HYPERLINK("https://www.oit.va.gov/Services/TRM/ToolPage.aspx?tid=11694^","I-List")</f>
        <v>I-List</v>
      </c>
      <c r="B4469" s="4" t="s">
        <v>3333</v>
      </c>
      <c r="C4469" s="8" t="s">
        <v>5</v>
      </c>
      <c r="D4469" s="11" t="s">
        <v>3334</v>
      </c>
    </row>
    <row r="4470" spans="1:4" ht="30">
      <c r="A4470" s="5" t="str">
        <f>HYPERLINK("https://www.oit.va.gov/Services/TRM/ToolPage.aspx?tid=16339^","SampleGISTICS")</f>
        <v>SampleGISTICS</v>
      </c>
      <c r="B4470" s="4" t="s">
        <v>3333</v>
      </c>
      <c r="C4470" s="8" t="s">
        <v>5</v>
      </c>
      <c r="D4470" s="11" t="s">
        <v>6906</v>
      </c>
    </row>
    <row r="4471" spans="1:4" ht="30">
      <c r="A4471" s="5" t="str">
        <f>HYPERLINK("https://www.oit.va.gov/Services/TRM/ToolPage.aspx?tid=10073^","LABTrack Electronic Lab Notebook (ELN)")</f>
        <v>LABTrack Electronic Lab Notebook (ELN)</v>
      </c>
      <c r="B4471" s="4" t="s">
        <v>8164</v>
      </c>
      <c r="C4471" s="8" t="s">
        <v>5</v>
      </c>
      <c r="D4471" s="11" t="s">
        <v>5169</v>
      </c>
    </row>
    <row r="4472" spans="1:4" ht="30">
      <c r="A4472" s="5" t="str">
        <f>HYPERLINK("https://www.oit.va.gov/Services/TRM/ToolPage.aspx?tid=14795^","LabVantage Biobanking")</f>
        <v>LabVantage Biobanking</v>
      </c>
      <c r="B4472" s="4" t="s">
        <v>4345</v>
      </c>
      <c r="C4472" s="8" t="s">
        <v>5</v>
      </c>
      <c r="D4472" s="11" t="s">
        <v>4346</v>
      </c>
    </row>
    <row r="4473" spans="1:4" ht="30">
      <c r="A4473" s="5" t="str">
        <f>HYPERLINK("https://www.oit.va.gov/Services/TRM/ToolPage.aspx?tid=13262^","Interface Explorer for HL7")</f>
        <v>Interface Explorer for HL7</v>
      </c>
      <c r="B4473" s="4" t="s">
        <v>4273</v>
      </c>
      <c r="C4473" s="8" t="s">
        <v>5</v>
      </c>
      <c r="D4473" s="11" t="s">
        <v>4274</v>
      </c>
    </row>
    <row r="4474" spans="1:4" ht="30">
      <c r="A4474" s="5" t="str">
        <f>HYPERLINK("https://www.oit.va.gov/Services/TRM/ToolPage.aspx?tid=16036^","Personal Storage Table (PST) Migrator")</f>
        <v>Personal Storage Table (PST) Migrator</v>
      </c>
      <c r="B4474" s="4" t="s">
        <v>8423</v>
      </c>
      <c r="C4474" s="8" t="s">
        <v>5</v>
      </c>
      <c r="D4474" s="11" t="s">
        <v>4552</v>
      </c>
    </row>
    <row r="4475" spans="1:4" ht="30">
      <c r="A4475" s="5" t="str">
        <f>HYPERLINK("https://www.oit.va.gov/Services/TRM/ToolPage.aspx?tid=11613^","SimCapture")</f>
        <v>SimCapture</v>
      </c>
      <c r="B4475" s="4" t="s">
        <v>1925</v>
      </c>
      <c r="C4475" s="8" t="s">
        <v>5</v>
      </c>
      <c r="D4475" s="11" t="s">
        <v>1926</v>
      </c>
    </row>
    <row r="4476" spans="1:4" ht="30">
      <c r="A4476" s="5" t="str">
        <f>HYPERLINK("https://www.oit.va.gov/Services/TRM/ToolPage.aspx?tid=7560^","Laerdal Learning Application (LLEAP) Software")</f>
        <v>Laerdal Learning Application (LLEAP) Software</v>
      </c>
      <c r="B4476" s="4" t="s">
        <v>1925</v>
      </c>
      <c r="C4476" s="8" t="s">
        <v>5</v>
      </c>
      <c r="D4476" s="11" t="s">
        <v>97</v>
      </c>
    </row>
    <row r="4477" spans="1:4" ht="30">
      <c r="A4477" s="5" t="str">
        <f>HYPERLINK("https://www.oit.va.gov/Services/TRM/ToolPage.aspx?tid=7004^","SimMan 3G Software")</f>
        <v>SimMan 3G Software</v>
      </c>
      <c r="B4477" s="4" t="s">
        <v>1925</v>
      </c>
      <c r="C4477" s="8" t="s">
        <v>5</v>
      </c>
      <c r="D4477" s="11" t="s">
        <v>7144</v>
      </c>
    </row>
    <row r="4478" spans="1:4" ht="30">
      <c r="A4478" s="5" t="str">
        <f>HYPERLINK("https://www.oit.va.gov/Services/TRM/ToolPage.aspx?tid=14631^","SimDesigner")</f>
        <v>SimDesigner</v>
      </c>
      <c r="B4478" s="4" t="s">
        <v>1925</v>
      </c>
      <c r="C4478" s="8" t="s">
        <v>5</v>
      </c>
      <c r="D4478" s="11" t="s">
        <v>2906</v>
      </c>
    </row>
    <row r="4479" spans="1:4" ht="30">
      <c r="A4479" s="5" t="str">
        <f>HYPERLINK("https://www.oit.va.gov/Services/TRM/ToolPage.aspx?tid=10902^","SysTrack")</f>
        <v>SysTrack</v>
      </c>
      <c r="B4479" s="4" t="s">
        <v>7206</v>
      </c>
      <c r="C4479" s="8" t="s">
        <v>5</v>
      </c>
      <c r="D4479" s="11" t="s">
        <v>7207</v>
      </c>
    </row>
    <row r="4480" spans="1:4" ht="30">
      <c r="A4480" s="5" t="str">
        <f>HYPERLINK("https://www.oit.va.gov/Services/TRM/ToolPage.aspx?tid=16038^","FireControl")</f>
        <v>FireControl</v>
      </c>
      <c r="B4480" s="4" t="s">
        <v>4134</v>
      </c>
      <c r="C4480" s="8" t="s">
        <v>5</v>
      </c>
      <c r="D4480" s="11" t="s">
        <v>4122</v>
      </c>
    </row>
    <row r="4481" spans="1:4" ht="30">
      <c r="A4481" s="5" t="str">
        <f>HYPERLINK("https://www.oit.va.gov/Services/TRM/ToolPage.aspx?tid=13304^","Language Line")</f>
        <v>Language Line</v>
      </c>
      <c r="B4481" s="4" t="s">
        <v>4348</v>
      </c>
      <c r="C4481" s="8" t="s">
        <v>5</v>
      </c>
      <c r="D4481" s="11" t="s">
        <v>2004</v>
      </c>
    </row>
    <row r="4482" spans="1:4" ht="30">
      <c r="A4482" s="5" t="str">
        <f>HYPERLINK("https://www.oit.va.gov/Services/TRM/ToolPage.aspx?tid=16278^","Cloudockit")</f>
        <v>Cloudockit</v>
      </c>
      <c r="B4482" s="4" t="s">
        <v>3933</v>
      </c>
      <c r="C4482" s="8" t="s">
        <v>5</v>
      </c>
      <c r="D4482" s="11" t="s">
        <v>3178</v>
      </c>
    </row>
    <row r="4483" spans="1:4" ht="30">
      <c r="A4483" s="5" t="str">
        <f>HYPERLINK("https://www.oit.va.gov/Services/TRM/ToolPage.aspx?tid=14095^","Sesame Database Manager")</f>
        <v>Sesame Database Manager</v>
      </c>
      <c r="B4483" s="4" t="s">
        <v>7132</v>
      </c>
      <c r="C4483" s="8" t="s">
        <v>5</v>
      </c>
      <c r="D4483" s="11" t="s">
        <v>7133</v>
      </c>
    </row>
    <row r="4484" spans="1:4" ht="30">
      <c r="A4484" s="5" t="str">
        <f>HYPERLINK("https://www.oit.va.gov/Services/TRM/ToolPage.aspx?tid=10385^","Lantronix Device Installer")</f>
        <v>Lantronix Device Installer</v>
      </c>
      <c r="B4484" s="4" t="s">
        <v>2725</v>
      </c>
      <c r="C4484" s="8" t="s">
        <v>5</v>
      </c>
      <c r="D4484" s="11" t="s">
        <v>2726</v>
      </c>
    </row>
    <row r="4485" spans="1:4" ht="30">
      <c r="A4485" s="5" t="str">
        <f>HYPERLINK("https://www.oit.va.gov/Services/TRM/ToolPage.aspx?tid=14808^","Com Port Redirector (CPR)")</f>
        <v>Com Port Redirector (CPR)</v>
      </c>
      <c r="B4485" s="4" t="s">
        <v>2725</v>
      </c>
      <c r="C4485" s="8" t="s">
        <v>5</v>
      </c>
      <c r="D4485" s="11" t="s">
        <v>5253</v>
      </c>
    </row>
    <row r="4486" spans="1:4" ht="30">
      <c r="A4486" s="5" t="str">
        <f>HYPERLINK("https://www.oit.va.gov/Services/TRM/ToolPage.aspx?tid=9447^","Uplogix Local Manager")</f>
        <v>Uplogix Local Manager</v>
      </c>
      <c r="B4486" s="4" t="s">
        <v>2725</v>
      </c>
      <c r="C4486" s="8" t="s">
        <v>5</v>
      </c>
      <c r="D4486" s="11" t="s">
        <v>3965</v>
      </c>
    </row>
    <row r="4487" spans="1:4" ht="30">
      <c r="A4487" s="5" t="str">
        <f>HYPERLINK("https://www.oit.va.gov/Services/TRM/ToolPage.aspx?tid=14053^","PCmover")</f>
        <v>PCmover</v>
      </c>
      <c r="B4487" s="4" t="s">
        <v>1193</v>
      </c>
      <c r="C4487" s="8" t="s">
        <v>5</v>
      </c>
      <c r="D4487" s="11" t="s">
        <v>1194</v>
      </c>
    </row>
    <row r="4488" spans="1:4" ht="30">
      <c r="A4488" s="5" t="str">
        <f>HYPERLINK("https://www.oit.va.gov/Services/TRM/ToolPage.aspx?tid=15714^","EasyLog Cold Chain")</f>
        <v>EasyLog Cold Chain</v>
      </c>
      <c r="B4488" s="4" t="s">
        <v>4059</v>
      </c>
      <c r="C4488" s="8" t="s">
        <v>5</v>
      </c>
      <c r="D4488" s="11" t="s">
        <v>4060</v>
      </c>
    </row>
    <row r="4489" spans="1:4" ht="30">
      <c r="A4489" s="5" t="str">
        <f>HYPERLINK("https://www.oit.va.gov/Services/TRM/ToolPage.aspx?tid=16729^","Laravel")</f>
        <v>Laravel</v>
      </c>
      <c r="B4489" s="4" t="s">
        <v>1025</v>
      </c>
      <c r="C4489" s="8" t="s">
        <v>5</v>
      </c>
      <c r="D4489" s="11" t="s">
        <v>1026</v>
      </c>
    </row>
    <row r="4490" spans="1:4" ht="30">
      <c r="A4490" s="5" t="str">
        <f>HYPERLINK("https://www.oit.va.gov/Services/TRM/ToolPage.aspx?tid=14356^","Emergency Recovery Utility NT (ERUNT)")</f>
        <v>Emergency Recovery Utility NT (ERUNT)</v>
      </c>
      <c r="B4490" s="4" t="s">
        <v>7856</v>
      </c>
      <c r="C4490" s="8" t="s">
        <v>5</v>
      </c>
      <c r="D4490" s="11" t="s">
        <v>7857</v>
      </c>
    </row>
    <row r="4491" spans="1:4" ht="30">
      <c r="A4491" s="5" t="str">
        <f>HYPERLINK("https://www.oit.va.gov/Services/TRM/ToolPage.aspx?tid=15367^","RubyInstaller")</f>
        <v>RubyInstaller</v>
      </c>
      <c r="B4491" s="4" t="s">
        <v>1906</v>
      </c>
      <c r="C4491" s="8" t="s">
        <v>5</v>
      </c>
      <c r="D4491" s="11" t="s">
        <v>1907</v>
      </c>
    </row>
    <row r="4492" spans="1:4" ht="30">
      <c r="A4492" s="5" t="str">
        <f>HYPERLINK("https://www.oit.va.gov/Services/TRM/ToolPage.aspx?tid=13203^","Blaze Software")</f>
        <v>Blaze Software</v>
      </c>
      <c r="B4492" s="4" t="s">
        <v>7564</v>
      </c>
      <c r="C4492" s="8" t="s">
        <v>5</v>
      </c>
      <c r="D4492" s="11" t="s">
        <v>5694</v>
      </c>
    </row>
    <row r="4493" spans="1:4" ht="30">
      <c r="A4493" s="5" t="str">
        <f>HYPERLINK("https://www.oit.va.gov/Services/TRM/ToolPage.aspx?tid=10037^","EasyLog Universal Serial Bus (USB)")</f>
        <v>EasyLog Universal Serial Bus (USB)</v>
      </c>
      <c r="B4493" s="4" t="s">
        <v>1520</v>
      </c>
      <c r="C4493" s="8" t="s">
        <v>5</v>
      </c>
      <c r="D4493" s="11" t="s">
        <v>1521</v>
      </c>
    </row>
    <row r="4494" spans="1:4" ht="30">
      <c r="A4494" s="5" t="str">
        <f>HYPERLINK("https://www.oit.va.gov/Services/TRM/ToolPage.aspx?tid=15073^","EasyLog 21CFR (Title 21 of the Code of Federal Regulations)")</f>
        <v>EasyLog 21CFR (Title 21 of the Code of Federal Regulations)</v>
      </c>
      <c r="B4494" s="4" t="s">
        <v>1520</v>
      </c>
      <c r="C4494" s="8" t="s">
        <v>5</v>
      </c>
      <c r="D4494" s="11" t="s">
        <v>3088</v>
      </c>
    </row>
    <row r="4495" spans="1:4" ht="30">
      <c r="A4495" s="5" t="str">
        <f>HYPERLINK("https://www.oit.va.gov/Services/TRM/ToolPage.aspx?tid=8719^","Laserfiche")</f>
        <v>Laserfiche</v>
      </c>
      <c r="B4495" s="4" t="s">
        <v>3356</v>
      </c>
      <c r="C4495" s="8" t="s">
        <v>5</v>
      </c>
      <c r="D4495" s="11" t="s">
        <v>3357</v>
      </c>
    </row>
    <row r="4496" spans="1:4" ht="30">
      <c r="A4496" s="5" t="str">
        <f>HYPERLINK("https://www.oit.va.gov/Services/TRM/ToolPage.aspx?tid=15750^","LaserGRBL")</f>
        <v>LaserGRBL</v>
      </c>
      <c r="B4496" s="4" t="s">
        <v>4349</v>
      </c>
      <c r="C4496" s="8" t="s">
        <v>5</v>
      </c>
      <c r="D4496" s="11" t="s">
        <v>1028</v>
      </c>
    </row>
    <row r="4497" spans="1:4" ht="30">
      <c r="A4497" s="5" t="str">
        <f>HYPERLINK("https://www.oit.va.gov/Services/TRM/ToolPage.aspx?tid=14434^","MediCopia Specimen Collection")</f>
        <v>MediCopia Specimen Collection</v>
      </c>
      <c r="B4497" s="4" t="s">
        <v>5940</v>
      </c>
      <c r="C4497" s="8" t="s">
        <v>5</v>
      </c>
      <c r="D4497" s="11" t="s">
        <v>1058</v>
      </c>
    </row>
    <row r="4498" spans="1:4" ht="30">
      <c r="A4498" s="5" t="str">
        <f>HYPERLINK("https://www.oit.va.gov/Services/TRM/ToolPage.aspx?tid=16655^","LaunchDarkly Server SDK for Node JavaScript (.js)")</f>
        <v>LaunchDarkly Server SDK for Node JavaScript (.js)</v>
      </c>
      <c r="B4498" s="4" t="s">
        <v>2727</v>
      </c>
      <c r="C4498" s="8" t="s">
        <v>5</v>
      </c>
      <c r="D4498" s="11" t="s">
        <v>2728</v>
      </c>
    </row>
    <row r="4499" spans="1:4" ht="30">
      <c r="A4499" s="5" t="str">
        <f>HYPERLINK("https://www.oit.va.gov/Services/TRM/ToolPage.aspx?tid=16687^","LaunchDarkly - Relay Proxy")</f>
        <v>LaunchDarkly - Relay Proxy</v>
      </c>
      <c r="B4499" s="4" t="s">
        <v>2727</v>
      </c>
      <c r="C4499" s="8" t="s">
        <v>5</v>
      </c>
      <c r="D4499" s="11" t="s">
        <v>4350</v>
      </c>
    </row>
    <row r="4500" spans="1:4" ht="30">
      <c r="A4500" s="5" t="str">
        <f>HYPERLINK("https://www.oit.va.gov/Services/TRM/ToolPage.aspx?tid=14626^","Laurel Bridge Compass")</f>
        <v>Laurel Bridge Compass</v>
      </c>
      <c r="B4500" s="4" t="s">
        <v>2729</v>
      </c>
      <c r="C4500" s="8" t="s">
        <v>5</v>
      </c>
      <c r="D4500" s="11" t="s">
        <v>2730</v>
      </c>
    </row>
    <row r="4501" spans="1:4" ht="30">
      <c r="A4501" s="5" t="str">
        <f>HYPERLINK("https://www.oit.va.gov/Services/TRM/ToolPage.aspx?tid=6248^","Digital Imaging and Communications in Medicine (DICOM) Connectivity Framework (DCF)")</f>
        <v>Digital Imaging and Communications in Medicine (DICOM) Connectivity Framework (DCF)</v>
      </c>
      <c r="B4501" s="4" t="s">
        <v>2729</v>
      </c>
      <c r="C4501" s="8" t="s">
        <v>5</v>
      </c>
      <c r="D4501" s="11" t="s">
        <v>4016</v>
      </c>
    </row>
    <row r="4502" spans="1:4" ht="30">
      <c r="A4502" s="5" t="str">
        <f>HYPERLINK("https://www.oit.va.gov/Services/TRM/ToolPage.aspx?tid=16865^","Laurel Bridge Navigator")</f>
        <v>Laurel Bridge Navigator</v>
      </c>
      <c r="B4502" s="4" t="s">
        <v>2729</v>
      </c>
      <c r="C4502" s="8" t="s">
        <v>5</v>
      </c>
      <c r="D4502" s="11" t="s">
        <v>4351</v>
      </c>
    </row>
    <row r="4503" spans="1:4" ht="30">
      <c r="A4503" s="5" t="str">
        <f>HYPERLINK("https://www.oit.va.gov/Services/TRM/ToolPage.aspx?tid=16734^","Laurel Bridge PowerTools")</f>
        <v>Laurel Bridge PowerTools</v>
      </c>
      <c r="B4503" s="4" t="s">
        <v>2729</v>
      </c>
      <c r="C4503" s="8" t="s">
        <v>5</v>
      </c>
      <c r="D4503" s="11" t="s">
        <v>4352</v>
      </c>
    </row>
    <row r="4504" spans="1:4" ht="30">
      <c r="A4504" s="5" t="str">
        <f>HYPERLINK("https://www.oit.va.gov/Services/TRM/ToolPage.aspx?tid=7237^","QtracVR Virtual Queuing System")</f>
        <v>QtracVR Virtual Queuing System</v>
      </c>
      <c r="B4504" s="4" t="s">
        <v>8515</v>
      </c>
      <c r="C4504" s="8" t="s">
        <v>5</v>
      </c>
      <c r="D4504" s="11" t="s">
        <v>8516</v>
      </c>
    </row>
    <row r="4505" spans="1:4" ht="30">
      <c r="A4505" s="5" t="str">
        <f>HYPERLINK("https://www.oit.va.gov/Services/TRM/ToolPage.aspx?tid=16854^","SeBaView")</f>
        <v>SeBaView</v>
      </c>
      <c r="B4505" s="4" t="s">
        <v>1096</v>
      </c>
      <c r="C4505" s="8" t="s">
        <v>5</v>
      </c>
      <c r="D4505" s="11" t="s">
        <v>1097</v>
      </c>
    </row>
    <row r="4506" spans="1:4" ht="30">
      <c r="A4506" s="5" t="str">
        <f>HYPERLINK("https://www.oit.va.gov/Services/TRM/ToolPage.aspx?tid=6026^","Optical Character Recognition (OCR) Module")</f>
        <v>Optical Character Recognition (OCR) Module</v>
      </c>
      <c r="B4506" s="4" t="s">
        <v>1808</v>
      </c>
      <c r="C4506" s="8" t="s">
        <v>5</v>
      </c>
      <c r="D4506" s="11" t="s">
        <v>1809</v>
      </c>
    </row>
    <row r="4507" spans="1:4" ht="30">
      <c r="A4507" s="5" t="str">
        <f>HYPERLINK("https://www.oit.va.gov/Services/TRM/ToolPage.aspx?tid=6025^","LEADTOOLS ePrint Professional")</f>
        <v>LEADTOOLS ePrint Professional</v>
      </c>
      <c r="B4507" s="4" t="s">
        <v>1808</v>
      </c>
      <c r="C4507" s="8" t="s">
        <v>5</v>
      </c>
      <c r="D4507" s="11" t="s">
        <v>5307</v>
      </c>
    </row>
    <row r="4508" spans="1:4" ht="30">
      <c r="A4508" s="5" t="str">
        <f>HYPERLINK("https://www.oit.va.gov/Services/TRM/ToolPage.aspx?tid=13211^","LEADTOOLS Recognition Software Development Kit (SDK) Technology")</f>
        <v>LEADTOOLS Recognition Software Development Kit (SDK) Technology</v>
      </c>
      <c r="B4508" s="4" t="s">
        <v>1808</v>
      </c>
      <c r="C4508" s="8" t="s">
        <v>5</v>
      </c>
      <c r="D4508" s="11" t="s">
        <v>6782</v>
      </c>
    </row>
    <row r="4509" spans="1:4" ht="30">
      <c r="A4509" s="5" t="str">
        <f>HYPERLINK("https://www.oit.va.gov/Services/TRM/ToolPage.aspx?tid=6709^","LeanPath Advantage Reporting Dashboard")</f>
        <v>LeanPath Advantage Reporting Dashboard</v>
      </c>
      <c r="B4509" s="4" t="s">
        <v>8166</v>
      </c>
      <c r="C4509" s="8" t="s">
        <v>5</v>
      </c>
      <c r="D4509" s="11" t="s">
        <v>3349</v>
      </c>
    </row>
    <row r="4510" spans="1:4" ht="30">
      <c r="A4510" s="5" t="str">
        <f>HYPERLINK("https://www.oit.va.gov/Services/TRM/ToolPage.aspx?tid=16796^","Leapwork")</f>
        <v>Leapwork</v>
      </c>
      <c r="B4510" s="4" t="s">
        <v>4354</v>
      </c>
      <c r="C4510" s="8" t="s">
        <v>5</v>
      </c>
      <c r="D4510" s="11" t="s">
        <v>4206</v>
      </c>
    </row>
    <row r="4511" spans="1:4" ht="30">
      <c r="A4511" s="5" t="str">
        <f>HYPERLINK("https://www.oit.va.gov/Services/TRM/ToolPage.aspx?tid=12860^","Government Case Management")</f>
        <v>Government Case Management</v>
      </c>
      <c r="B4511" s="4" t="s">
        <v>7997</v>
      </c>
      <c r="C4511" s="8" t="s">
        <v>5</v>
      </c>
      <c r="D4511" s="11" t="s">
        <v>6759</v>
      </c>
    </row>
    <row r="4512" spans="1:4" ht="30">
      <c r="A4512" s="5" t="str">
        <f>HYPERLINK("https://www.oit.va.gov/Services/TRM/ToolPage.aspx?tid=11398^","Aperio ImageScope")</f>
        <v>Aperio ImageScope</v>
      </c>
      <c r="B4512" s="4" t="s">
        <v>2377</v>
      </c>
      <c r="C4512" s="8" t="s">
        <v>5</v>
      </c>
      <c r="D4512" s="11" t="s">
        <v>547</v>
      </c>
    </row>
    <row r="4513" spans="1:4" ht="30">
      <c r="A4513" s="5" t="str">
        <f>HYPERLINK("https://www.oit.va.gov/Services/TRM/ToolPage.aspx?tid=11399^","CEREBRO")</f>
        <v>CEREBRO</v>
      </c>
      <c r="B4513" s="4" t="s">
        <v>2377</v>
      </c>
      <c r="C4513" s="8" t="s">
        <v>5</v>
      </c>
      <c r="D4513" s="11" t="s">
        <v>3901</v>
      </c>
    </row>
    <row r="4514" spans="1:4" ht="30">
      <c r="A4514" s="5" t="str">
        <f>HYPERLINK("https://www.oit.va.gov/Services/TRM/ToolPage.aspx?tid=11400^","Aperio eSlide Manager")</f>
        <v>Aperio eSlide Manager</v>
      </c>
      <c r="B4514" s="4" t="s">
        <v>2377</v>
      </c>
      <c r="C4514" s="8" t="s">
        <v>5</v>
      </c>
      <c r="D4514" s="11" t="s">
        <v>5643</v>
      </c>
    </row>
    <row r="4515" spans="1:4" ht="30">
      <c r="A4515" s="5" t="str">
        <f>HYPERLINK("https://www.oit.va.gov/Services/TRM/ToolPage.aspx?tid=16838^","Cyclone REGISTER 360")</f>
        <v>Cyclone REGISTER 360</v>
      </c>
      <c r="B4515" s="4" t="s">
        <v>1474</v>
      </c>
      <c r="C4515" s="8" t="s">
        <v>5</v>
      </c>
      <c r="D4515" s="11" t="s">
        <v>1475</v>
      </c>
    </row>
    <row r="4516" spans="1:4" ht="30">
      <c r="A4516" s="5" t="str">
        <f>HYPERLINK("https://www.oit.va.gov/Services/TRM/ToolPage.aspx?tid=16839^","BLK Data Manager")</f>
        <v>BLK Data Manager</v>
      </c>
      <c r="B4516" s="4" t="s">
        <v>1474</v>
      </c>
      <c r="C4516" s="8" t="s">
        <v>5</v>
      </c>
      <c r="D4516" s="11" t="s">
        <v>3841</v>
      </c>
    </row>
    <row r="4517" spans="1:4" ht="30">
      <c r="A4517" s="5" t="str">
        <f>HYPERLINK("https://www.oit.va.gov/Services/TRM/ToolPage.aspx?tid=7757^","Leica Application Suite (LAS)")</f>
        <v>Leica Application Suite (LAS)</v>
      </c>
      <c r="B4517" s="4" t="s">
        <v>2732</v>
      </c>
      <c r="C4517" s="8" t="s">
        <v>5</v>
      </c>
      <c r="D4517" s="11" t="s">
        <v>2733</v>
      </c>
    </row>
    <row r="4518" spans="1:4" ht="30">
      <c r="A4518" s="5" t="str">
        <f>HYPERLINK("https://www.oit.va.gov/Services/TRM/ToolPage.aspx?tid=16520^","Leica Application Suite X (LAS X)")</f>
        <v>Leica Application Suite X (LAS X)</v>
      </c>
      <c r="B4518" s="4" t="s">
        <v>2732</v>
      </c>
      <c r="C4518" s="8" t="s">
        <v>5</v>
      </c>
      <c r="D4518" s="11" t="s">
        <v>4355</v>
      </c>
    </row>
    <row r="4519" spans="1:4" ht="30">
      <c r="A4519" s="5" t="str">
        <f>HYPERLINK("https://www.oit.va.gov/Services/TRM/ToolPage.aspx?tid=14672^","Three-Dimensional (3D) Disto")</f>
        <v>Three-Dimensional (3D) Disto</v>
      </c>
      <c r="B4519" s="4" t="s">
        <v>2732</v>
      </c>
      <c r="C4519" s="8" t="s">
        <v>5</v>
      </c>
      <c r="D4519" s="11" t="s">
        <v>5552</v>
      </c>
    </row>
    <row r="4520" spans="1:4" ht="30">
      <c r="A4520" s="5" t="str">
        <f>HYPERLINK("https://www.oit.va.gov/Services/TRM/ToolPage.aspx?tid=9427^","Intranet Quorum (IQ)")</f>
        <v>Intranet Quorum (IQ)</v>
      </c>
      <c r="B4520" s="4" t="s">
        <v>3342</v>
      </c>
      <c r="C4520" s="8" t="s">
        <v>5</v>
      </c>
      <c r="D4520" s="11" t="s">
        <v>3343</v>
      </c>
    </row>
    <row r="4521" spans="1:4" ht="30">
      <c r="A4521" s="5" t="str">
        <f>HYPERLINK("https://www.oit.va.gov/Services/TRM/ToolPage.aspx?tid=16473^","LPDH Dental PACS Launcher")</f>
        <v>LPDH Dental PACS Launcher</v>
      </c>
      <c r="B4521" s="4" t="s">
        <v>3342</v>
      </c>
      <c r="C4521" s="8" t="s">
        <v>5</v>
      </c>
      <c r="D4521" s="11" t="s">
        <v>299</v>
      </c>
    </row>
    <row r="4522" spans="1:4" ht="30">
      <c r="A4522" s="5" t="str">
        <f>HYPERLINK("https://www.oit.va.gov/Services/TRM/ToolPage.aspx?tid=8786^","Digital Data Tracker")</f>
        <v>Digital Data Tracker</v>
      </c>
      <c r="B4522" s="4" t="s">
        <v>3342</v>
      </c>
      <c r="C4522" s="8" t="s">
        <v>5</v>
      </c>
      <c r="D4522" s="11" t="s">
        <v>2121</v>
      </c>
    </row>
    <row r="4523" spans="1:4" ht="30">
      <c r="A4523" s="5" t="str">
        <f>HYPERLINK("https://www.oit.va.gov/Services/TRM/ToolPage.aspx?tid=8771^","GeoRover Locus Track")</f>
        <v>GeoRover Locus Track</v>
      </c>
      <c r="B4523" s="4" t="s">
        <v>3342</v>
      </c>
      <c r="C4523" s="8" t="s">
        <v>5</v>
      </c>
      <c r="D4523" s="11" t="s">
        <v>2859</v>
      </c>
    </row>
    <row r="4524" spans="1:4" ht="30">
      <c r="A4524" s="5" t="str">
        <f>HYPERLINK("https://www.oit.va.gov/Services/TRM/ToolPage.aspx?tid=10428^","LEIGHTRONIX WinLGX")</f>
        <v>LEIGHTRONIX WinLGX</v>
      </c>
      <c r="B4524" s="4" t="s">
        <v>1027</v>
      </c>
      <c r="C4524" s="8" t="s">
        <v>5</v>
      </c>
      <c r="D4524" s="11" t="s">
        <v>1028</v>
      </c>
    </row>
    <row r="4525" spans="1:4" ht="30">
      <c r="A4525" s="5" t="str">
        <f>HYPERLINK("https://www.oit.va.gov/Services/TRM/ToolPage.aspx?tid=15017^","NetVR")</f>
        <v>NetVR</v>
      </c>
      <c r="B4525" s="4" t="s">
        <v>4483</v>
      </c>
      <c r="C4525" s="8" t="s">
        <v>5</v>
      </c>
      <c r="D4525" s="11" t="s">
        <v>4484</v>
      </c>
    </row>
    <row r="4526" spans="1:4" ht="30">
      <c r="A4526" s="5" t="str">
        <f>HYPERLINK("https://www.oit.va.gov/Services/TRM/ToolPage.aspx?tid=10069^","Facility Commander Wnx")</f>
        <v>Facility Commander Wnx</v>
      </c>
      <c r="B4526" s="4" t="s">
        <v>7910</v>
      </c>
      <c r="C4526" s="8" t="s">
        <v>5</v>
      </c>
      <c r="D4526" s="11" t="s">
        <v>3305</v>
      </c>
    </row>
    <row r="4527" spans="1:4" ht="30">
      <c r="A4527" s="5" t="str">
        <f>HYPERLINK("https://www.oit.va.gov/Services/TRM/ToolPage.aspx?tid=13647^","Prism")</f>
        <v>Prism</v>
      </c>
      <c r="B4527" s="4" t="s">
        <v>7910</v>
      </c>
      <c r="C4527" s="8" t="s">
        <v>5</v>
      </c>
      <c r="D4527" s="11" t="s">
        <v>3577</v>
      </c>
    </row>
    <row r="4528" spans="1:4" ht="30">
      <c r="A4528" s="5" t="str">
        <f>HYPERLINK("https://www.oit.va.gov/Services/TRM/ToolPage.aspx?tid=8822^","LanSchool")</f>
        <v>LanSchool</v>
      </c>
      <c r="B4528" s="4" t="s">
        <v>5305</v>
      </c>
      <c r="C4528" s="8" t="s">
        <v>5</v>
      </c>
      <c r="D4528" s="11" t="s">
        <v>5306</v>
      </c>
    </row>
    <row r="4529" spans="1:4" ht="30">
      <c r="A4529" s="5" t="str">
        <f>HYPERLINK("https://www.oit.va.gov/Services/TRM/ToolPage.aspx?tid=13172^","Presentation Director")</f>
        <v>Presentation Director</v>
      </c>
      <c r="B4529" s="4" t="s">
        <v>5305</v>
      </c>
      <c r="C4529" s="8" t="s">
        <v>5</v>
      </c>
      <c r="D4529" s="11" t="s">
        <v>2185</v>
      </c>
    </row>
    <row r="4530" spans="1:4" ht="30">
      <c r="A4530" s="5" t="str">
        <f>HYPERLINK("https://www.oit.va.gov/Services/TRM/ToolPage.aspx?tid=10410^","Dynamic System Analysis (DSA)")</f>
        <v>Dynamic System Analysis (DSA)</v>
      </c>
      <c r="B4530" s="4" t="s">
        <v>5305</v>
      </c>
      <c r="C4530" s="8" t="s">
        <v>5</v>
      </c>
      <c r="D4530" s="11" t="s">
        <v>7823</v>
      </c>
    </row>
    <row r="4531" spans="1:4" ht="30">
      <c r="A4531" s="5" t="str">
        <f>HYPERLINK("https://www.oit.va.gov/Services/TRM/ToolPage.aspx?tid=10399^","Lenovo On Screen Display")</f>
        <v>Lenovo On Screen Display</v>
      </c>
      <c r="B4531" s="4" t="s">
        <v>5305</v>
      </c>
      <c r="C4531" s="8" t="s">
        <v>5</v>
      </c>
      <c r="D4531" s="11" t="s">
        <v>6762</v>
      </c>
    </row>
    <row r="4532" spans="1:4" ht="30">
      <c r="A4532" s="5" t="str">
        <f>HYPERLINK("https://www.oit.va.gov/Services/TRM/ToolPage.aspx?tid=6051^","Message Center Plus")</f>
        <v>Message Center Plus</v>
      </c>
      <c r="B4532" s="4" t="s">
        <v>5305</v>
      </c>
      <c r="C4532" s="8" t="s">
        <v>5</v>
      </c>
      <c r="D4532" s="11" t="s">
        <v>6841</v>
      </c>
    </row>
    <row r="4533" spans="1:4" ht="30">
      <c r="A4533" s="5" t="str">
        <f>HYPERLINK("https://www.oit.va.gov/Services/TRM/ToolPage.aspx?tid=6142^","Sonic Icons for Lenovo")</f>
        <v>Sonic Icons for Lenovo</v>
      </c>
      <c r="B4533" s="4" t="s">
        <v>5305</v>
      </c>
      <c r="C4533" s="8" t="s">
        <v>5</v>
      </c>
      <c r="D4533" s="11" t="s">
        <v>8666</v>
      </c>
    </row>
    <row r="4534" spans="1:4" ht="30">
      <c r="A4534" s="5" t="str">
        <f>HYPERLINK("https://www.oit.va.gov/Services/TRM/ToolPage.aspx?tid=16816^","AutoArchive Purge (AAP)")</f>
        <v>AutoArchive Purge (AAP)</v>
      </c>
      <c r="B4534" s="4" t="s">
        <v>5666</v>
      </c>
      <c r="C4534" s="8" t="s">
        <v>5</v>
      </c>
      <c r="D4534" s="11" t="s">
        <v>5667</v>
      </c>
    </row>
    <row r="4535" spans="1:4" ht="30">
      <c r="A4535" s="5" t="str">
        <f>HYPERLINK("https://www.oit.va.gov/Services/TRM/ToolPage.aspx?tid=15610^","Automation Station")</f>
        <v>Automation Station</v>
      </c>
      <c r="B4535" s="4" t="s">
        <v>5666</v>
      </c>
      <c r="C4535" s="8" t="s">
        <v>5</v>
      </c>
      <c r="D4535" s="11" t="s">
        <v>7512</v>
      </c>
    </row>
    <row r="4536" spans="1:4" ht="30">
      <c r="A4536" s="5" t="str">
        <f>HYPERLINK("https://www.oit.va.gov/Services/TRM/ToolPage.aspx?tid=7282^","Mailcrypt")</f>
        <v>Mailcrypt</v>
      </c>
      <c r="B4536" s="4" t="s">
        <v>3373</v>
      </c>
      <c r="C4536" s="8" t="s">
        <v>5</v>
      </c>
      <c r="D4536" s="11" t="s">
        <v>3374</v>
      </c>
    </row>
    <row r="4537" spans="1:4" ht="30">
      <c r="A4537" s="5" t="str">
        <f>HYPERLINK("https://www.oit.va.gov/Services/TRM/ToolPage.aspx?tid=15141^","Leukobyte Cytopaint Classic")</f>
        <v>Leukobyte Cytopaint Classic</v>
      </c>
      <c r="B4537" s="4" t="s">
        <v>5905</v>
      </c>
      <c r="C4537" s="8" t="s">
        <v>5</v>
      </c>
      <c r="D4537" s="11" t="s">
        <v>4355</v>
      </c>
    </row>
    <row r="4538" spans="1:4" ht="30">
      <c r="A4538" s="5" t="str">
        <f>HYPERLINK("https://www.oit.va.gov/Services/TRM/ToolPage.aspx?tid=7447^","ExcelerPlan")</f>
        <v>ExcelerPlan</v>
      </c>
      <c r="B4538" s="4" t="s">
        <v>1534</v>
      </c>
      <c r="C4538" s="8" t="s">
        <v>5</v>
      </c>
      <c r="D4538" s="11" t="s">
        <v>1535</v>
      </c>
    </row>
    <row r="4539" spans="1:4" ht="30">
      <c r="A4539" s="5" t="str">
        <f>HYPERLINK("https://www.oit.va.gov/Services/TRM/ToolPage.aspx?tid=6941^","Accessibility Management Platform (AMP)")</f>
        <v>Accessibility Management Platform (AMP)</v>
      </c>
      <c r="B4539" s="4" t="s">
        <v>1263</v>
      </c>
      <c r="C4539" s="8" t="s">
        <v>5</v>
      </c>
      <c r="D4539" s="11" t="s">
        <v>1264</v>
      </c>
    </row>
    <row r="4540" spans="1:4" ht="30">
      <c r="A4540" s="5" t="str">
        <f>HYPERLINK("https://www.oit.va.gov/Services/TRM/ToolPage.aspx?tid=16295^","Continuum Software Development Kit (SDK)")</f>
        <v>Continuum Software Development Kit (SDK)</v>
      </c>
      <c r="B4540" s="4" t="s">
        <v>1263</v>
      </c>
      <c r="C4540" s="8" t="s">
        <v>5</v>
      </c>
      <c r="D4540" s="11" t="s">
        <v>1460</v>
      </c>
    </row>
    <row r="4541" spans="1:4" ht="30">
      <c r="A4541" s="5" t="str">
        <f>HYPERLINK("https://www.oit.va.gov/Services/TRM/ToolPage.aspx?tid=16296^","Accessible Color Picker")</f>
        <v>Accessible Color Picker</v>
      </c>
      <c r="B4541" s="4" t="s">
        <v>1263</v>
      </c>
      <c r="C4541" s="8" t="s">
        <v>5</v>
      </c>
      <c r="D4541" s="11" t="s">
        <v>714</v>
      </c>
    </row>
    <row r="4542" spans="1:4" ht="30">
      <c r="A4542" s="5" t="str">
        <f>HYPERLINK("https://www.oit.va.gov/Services/TRM/ToolPage.aspx?tid=16378^","Continuum Explorer")</f>
        <v>Continuum Explorer</v>
      </c>
      <c r="B4542" s="4" t="s">
        <v>1263</v>
      </c>
      <c r="C4542" s="8" t="s">
        <v>5</v>
      </c>
      <c r="D4542" s="11" t="s">
        <v>3971</v>
      </c>
    </row>
    <row r="4543" spans="1:4" ht="30">
      <c r="A4543" s="5" t="str">
        <f>HYPERLINK("https://www.oit.va.gov/Services/TRM/ToolPage.aspx?tid=13187^","Access Alchemy")</f>
        <v>Access Alchemy</v>
      </c>
      <c r="B4543" s="4" t="s">
        <v>1263</v>
      </c>
      <c r="C4543" s="8" t="s">
        <v>5</v>
      </c>
      <c r="D4543" s="11" t="s">
        <v>7373</v>
      </c>
    </row>
    <row r="4544" spans="1:4" ht="30">
      <c r="A4544" s="5" t="str">
        <f>HYPERLINK("https://www.oit.va.gov/Services/TRM/ToolPage.aspx?tid=6931^","VPSX Enterprise")</f>
        <v>VPSX Enterprise</v>
      </c>
      <c r="B4544" s="4" t="s">
        <v>481</v>
      </c>
      <c r="C4544" s="8" t="s">
        <v>5</v>
      </c>
      <c r="D4544" s="11" t="s">
        <v>271</v>
      </c>
    </row>
    <row r="4545" spans="1:4" ht="30">
      <c r="A4545" s="5" t="str">
        <f>HYPERLINK("https://www.oit.va.gov/Services/TRM/ToolPage.aspx?tid=11411^","WordSmith Tools")</f>
        <v>WordSmith Tools</v>
      </c>
      <c r="B4545" s="4" t="s">
        <v>7340</v>
      </c>
      <c r="C4545" s="8" t="s">
        <v>5</v>
      </c>
      <c r="D4545" s="11" t="s">
        <v>7309</v>
      </c>
    </row>
    <row r="4546" spans="1:4" ht="30">
      <c r="A4546" s="5" t="str">
        <f>HYPERLINK("https://www.oit.va.gov/Services/TRM/ToolPage.aspx?tid=9801^","Lexis for Microsoft Office")</f>
        <v>Lexis for Microsoft Office</v>
      </c>
      <c r="B4546" s="4" t="s">
        <v>3664</v>
      </c>
      <c r="C4546" s="8" t="s">
        <v>5</v>
      </c>
      <c r="D4546" s="11" t="s">
        <v>1608</v>
      </c>
    </row>
    <row r="4547" spans="1:4" ht="30">
      <c r="A4547" s="5" t="str">
        <f>HYPERLINK("https://www.oit.va.gov/Services/TRM/ToolPage.aspx?tid=15347^","Device Deployment Utility")</f>
        <v>Device Deployment Utility</v>
      </c>
      <c r="B4547" s="4" t="s">
        <v>3664</v>
      </c>
      <c r="C4547" s="8" t="s">
        <v>5</v>
      </c>
      <c r="D4547" s="11" t="s">
        <v>4014</v>
      </c>
    </row>
    <row r="4548" spans="1:4" ht="30">
      <c r="A4548" s="5" t="str">
        <f>HYPERLINK("https://www.oit.va.gov/Services/TRM/ToolPage.aspx?tid=10841^","LexisNexis Automated Veterans Benefits Forms")</f>
        <v>LexisNexis Automated Veterans Benefits Forms</v>
      </c>
      <c r="B4548" s="4" t="s">
        <v>3664</v>
      </c>
      <c r="C4548" s="8" t="s">
        <v>5</v>
      </c>
      <c r="D4548" s="11" t="s">
        <v>2709</v>
      </c>
    </row>
    <row r="4549" spans="1:4" ht="30">
      <c r="A4549" s="5" t="str">
        <f>HYPERLINK("https://www.oit.va.gov/Services/TRM/ToolPage.aspx?tid=6027^","LexisNexis Compact Disc (CD) on Folio 4")</f>
        <v>LexisNexis Compact Disc (CD) on Folio 4</v>
      </c>
      <c r="B4549" s="4" t="s">
        <v>3664</v>
      </c>
      <c r="C4549" s="8" t="s">
        <v>5</v>
      </c>
      <c r="D4549" s="11" t="s">
        <v>4357</v>
      </c>
    </row>
    <row r="4550" spans="1:4" ht="30">
      <c r="A4550" s="5" t="str">
        <f>HYPERLINK("https://www.oit.va.gov/Services/TRM/ToolPage.aspx?tid=13086^","Lexis Search Advantage (LSA)")</f>
        <v>Lexis Search Advantage (LSA)</v>
      </c>
      <c r="B4550" s="4" t="s">
        <v>3664</v>
      </c>
      <c r="C4550" s="8" t="s">
        <v>5</v>
      </c>
      <c r="D4550" s="11" t="s">
        <v>1885</v>
      </c>
    </row>
    <row r="4551" spans="1:4" ht="30">
      <c r="A4551" s="5" t="str">
        <f>HYPERLINK("https://www.oit.va.gov/Services/TRM/ToolPage.aspx?tid=10483^","Lexmark Data Collection Manager")</f>
        <v>Lexmark Data Collection Manager</v>
      </c>
      <c r="B4551" s="4" t="s">
        <v>1687</v>
      </c>
      <c r="C4551" s="8" t="s">
        <v>5</v>
      </c>
      <c r="D4551" s="11" t="s">
        <v>1688</v>
      </c>
    </row>
    <row r="4552" spans="1:4" ht="30">
      <c r="A4552" s="5" t="str">
        <f>HYPERLINK("https://www.oit.va.gov/Services/TRM/ToolPage.aspx?tid=13179^","Lexmark Document Distributor (LDD)")</f>
        <v>Lexmark Document Distributor (LDD)</v>
      </c>
      <c r="B4552" s="4" t="s">
        <v>1687</v>
      </c>
      <c r="C4552" s="8" t="s">
        <v>5</v>
      </c>
      <c r="D4552" s="11" t="s">
        <v>1293</v>
      </c>
    </row>
    <row r="4553" spans="1:4" ht="30">
      <c r="A4553" s="5" t="str">
        <f>HYPERLINK("https://www.oit.va.gov/Services/TRM/ToolPage.aspx?tid=7574^","Lexmark Markvision Enterprise")</f>
        <v>Lexmark Markvision Enterprise</v>
      </c>
      <c r="B4553" s="4" t="s">
        <v>1687</v>
      </c>
      <c r="C4553" s="8" t="s">
        <v>5</v>
      </c>
      <c r="D4553" s="11" t="s">
        <v>1024</v>
      </c>
    </row>
    <row r="4554" spans="1:4" ht="30">
      <c r="A4554" s="5" t="str">
        <f>HYPERLINK("https://www.oit.va.gov/Services/TRM/ToolPage.aspx?tid=9145^","Lexmark Print Release")</f>
        <v>Lexmark Print Release</v>
      </c>
      <c r="B4554" s="4" t="s">
        <v>1687</v>
      </c>
      <c r="C4554" s="8" t="s">
        <v>5</v>
      </c>
      <c r="D4554" s="11" t="s">
        <v>1552</v>
      </c>
    </row>
    <row r="4555" spans="1:4" ht="30">
      <c r="A4555" s="5" t="str">
        <f>HYPERLINK("https://www.oit.va.gov/Services/TRM/ToolPage.aspx?tid=7898^","Lexmark Scanback Utility")</f>
        <v>Lexmark Scanback Utility</v>
      </c>
      <c r="B4555" s="4" t="s">
        <v>1687</v>
      </c>
      <c r="C4555" s="8" t="s">
        <v>5</v>
      </c>
      <c r="D4555" s="11" t="s">
        <v>1028</v>
      </c>
    </row>
    <row r="4556" spans="1:4" ht="30">
      <c r="A4556" s="5" t="str">
        <f>HYPERLINK("https://www.oit.va.gov/Services/TRM/ToolPage.aspx?tid=16551^","PerfectLum")</f>
        <v>PerfectLum</v>
      </c>
      <c r="B4556" s="4" t="s">
        <v>4587</v>
      </c>
      <c r="C4556" s="8" t="s">
        <v>5</v>
      </c>
      <c r="D4556" s="11" t="s">
        <v>3692</v>
      </c>
    </row>
    <row r="4557" spans="1:4" ht="30">
      <c r="A4557" s="5" t="str">
        <f>HYPERLINK("https://www.oit.va.gov/Services/TRM/ToolPage.aspx?tid=13777^","SuperSign Content Management Software (CMS)")</f>
        <v>SuperSign Content Management Software (CMS)</v>
      </c>
      <c r="B4557" s="4" t="s">
        <v>4587</v>
      </c>
      <c r="C4557" s="8" t="s">
        <v>5</v>
      </c>
      <c r="D4557" s="11" t="s">
        <v>2346</v>
      </c>
    </row>
    <row r="4558" spans="1:4" ht="30">
      <c r="A4558" s="5" t="str">
        <f>HYPERLINK("https://www.oit.va.gov/Services/TRM/ToolPage.aspx?tid=14566^","LG Monitoring View (LGMV)")</f>
        <v>LG Monitoring View (LGMV)</v>
      </c>
      <c r="B4558" s="4" t="s">
        <v>4587</v>
      </c>
      <c r="C4558" s="8" t="s">
        <v>5</v>
      </c>
      <c r="D4558" s="11" t="s">
        <v>1386</v>
      </c>
    </row>
    <row r="4559" spans="1:4" ht="30">
      <c r="A4559" s="5" t="str">
        <f>HYPERLINK("https://www.oit.va.gov/Services/TRM/ToolPage.aspx?tid=12819^","LG Ultrawide Monitor LG-29UC88-B Screen Partition Software and Drivers")</f>
        <v>LG Ultrawide Monitor LG-29UC88-B Screen Partition Software and Drivers</v>
      </c>
      <c r="B4559" s="4" t="s">
        <v>4587</v>
      </c>
      <c r="C4559" s="8" t="s">
        <v>5</v>
      </c>
      <c r="D4559" s="11" t="s">
        <v>5906</v>
      </c>
    </row>
    <row r="4560" spans="1:4" ht="30">
      <c r="A4560" s="5" t="str">
        <f>HYPERLINK("https://www.oit.va.gov/Services/TRM/ToolPage.aspx?tid=15005^","Dual Controller")</f>
        <v>Dual Controller</v>
      </c>
      <c r="B4560" s="4" t="s">
        <v>4587</v>
      </c>
      <c r="C4560" s="8" t="s">
        <v>5</v>
      </c>
      <c r="D4560" s="11" t="s">
        <v>6544</v>
      </c>
    </row>
    <row r="4561" spans="1:4" ht="30">
      <c r="A4561" s="5" t="str">
        <f>HYPERLINK("https://www.oit.va.gov/Services/TRM/ToolPage.aspx?tid=14955^","OnScreen Control")</f>
        <v>OnScreen Control</v>
      </c>
      <c r="B4561" s="4" t="s">
        <v>4587</v>
      </c>
      <c r="C4561" s="8" t="s">
        <v>5</v>
      </c>
      <c r="D4561" s="11" t="s">
        <v>828</v>
      </c>
    </row>
    <row r="4562" spans="1:4" ht="30">
      <c r="A4562" s="5" t="str">
        <f>HYPERLINK("https://www.oit.va.gov/Services/TRM/ToolPage.aspx?tid=15238^","SuperSign Media Editor")</f>
        <v>SuperSign Media Editor</v>
      </c>
      <c r="B4562" s="4" t="s">
        <v>4587</v>
      </c>
      <c r="C4562" s="8" t="s">
        <v>5</v>
      </c>
      <c r="D4562" s="11" t="s">
        <v>1775</v>
      </c>
    </row>
    <row r="4563" spans="1:4" ht="30">
      <c r="A4563" s="5" t="str">
        <f>HYPERLINK("https://www.oit.va.gov/Services/TRM/ToolPage.aspx?tid=15326^","Burrows-Wheeler Aligner")</f>
        <v>Burrows-Wheeler Aligner</v>
      </c>
      <c r="B4563" s="4" t="s">
        <v>7586</v>
      </c>
      <c r="C4563" s="8" t="s">
        <v>5</v>
      </c>
      <c r="D4563" s="11" t="s">
        <v>7587</v>
      </c>
    </row>
    <row r="4564" spans="1:4" ht="30">
      <c r="A4564" s="5" t="str">
        <f>HYPERLINK("https://www.oit.va.gov/Services/TRM/ToolPage.aspx?tid=16633^","liberoCONFIG")</f>
        <v>liberoCONFIG</v>
      </c>
      <c r="B4564" s="4" t="s">
        <v>1029</v>
      </c>
      <c r="C4564" s="8" t="s">
        <v>5</v>
      </c>
      <c r="D4564" s="11" t="s">
        <v>1030</v>
      </c>
    </row>
    <row r="4565" spans="1:4" ht="30">
      <c r="A4565" s="5" t="str">
        <f>HYPERLINK("https://www.oit.va.gov/Services/TRM/ToolPage.aspx?tid=16446^","Libreswan")</f>
        <v>Libreswan</v>
      </c>
      <c r="B4565" s="4" t="s">
        <v>6785</v>
      </c>
      <c r="C4565" s="8" t="s">
        <v>5</v>
      </c>
      <c r="D4565" s="11" t="s">
        <v>6786</v>
      </c>
    </row>
    <row r="4566" spans="1:4" ht="30">
      <c r="A4566" s="5" t="str">
        <f>HYPERLINK("https://www.oit.va.gov/Services/TRM/ToolPage.aspx?tid=14696^","LibTIFF")</f>
        <v>LibTIFF</v>
      </c>
      <c r="B4566" s="4" t="s">
        <v>6787</v>
      </c>
      <c r="C4566" s="8" t="s">
        <v>5</v>
      </c>
      <c r="D4566" s="11" t="s">
        <v>6757</v>
      </c>
    </row>
    <row r="4567" spans="1:4" ht="30">
      <c r="A4567" s="5" t="str">
        <f>HYPERLINK("https://www.oit.va.gov/Services/TRM/ToolPage.aspx?tid=12990^","Image Studio")</f>
        <v>Image Studio</v>
      </c>
      <c r="B4567" s="4" t="s">
        <v>8062</v>
      </c>
      <c r="C4567" s="8" t="s">
        <v>5</v>
      </c>
      <c r="D4567" s="11" t="s">
        <v>302</v>
      </c>
    </row>
    <row r="4568" spans="1:4" ht="30">
      <c r="A4568" s="5" t="str">
        <f>HYPERLINK("https://www.oit.va.gov/Services/TRM/ToolPage.aspx?tid=14851^","SiteScan Services")</f>
        <v>SiteScan Services</v>
      </c>
      <c r="B4568" s="4" t="s">
        <v>4794</v>
      </c>
      <c r="C4568" s="8" t="s">
        <v>5</v>
      </c>
      <c r="D4568" s="11" t="s">
        <v>839</v>
      </c>
    </row>
    <row r="4569" spans="1:4" ht="30">
      <c r="A4569" s="5" t="str">
        <f>HYPERLINK("https://www.oit.va.gov/Services/TRM/ToolPage.aspx?tid=9882^","RadCalc")</f>
        <v>RadCalc</v>
      </c>
      <c r="B4569" s="4" t="s">
        <v>251</v>
      </c>
      <c r="C4569" s="8" t="s">
        <v>5</v>
      </c>
      <c r="D4569" s="11" t="s">
        <v>252</v>
      </c>
    </row>
    <row r="4570" spans="1:4" ht="30">
      <c r="A4570" s="5" t="str">
        <f>HYPERLINK("https://www.oit.va.gov/Services/TRM/ToolPage.aspx?tid=14089^","Lifelines iEEG Centrum")</f>
        <v>Lifelines iEEG Centrum</v>
      </c>
      <c r="B4570" s="4" t="s">
        <v>251</v>
      </c>
      <c r="C4570" s="8" t="s">
        <v>5</v>
      </c>
      <c r="D4570" s="11" t="s">
        <v>3361</v>
      </c>
    </row>
    <row r="4571" spans="1:4" ht="30">
      <c r="A4571" s="5" t="str">
        <f>HYPERLINK("https://www.oit.va.gov/Services/TRM/ToolPage.aspx?tid=6205^","Liferay Portal")</f>
        <v>Liferay Portal</v>
      </c>
      <c r="B4571" s="4" t="s">
        <v>745</v>
      </c>
      <c r="C4571" s="8" t="s">
        <v>5</v>
      </c>
      <c r="D4571" s="11" t="s">
        <v>746</v>
      </c>
    </row>
    <row r="4572" spans="1:4" ht="30">
      <c r="A4572" s="5" t="str">
        <f>HYPERLINK("https://www.oit.va.gov/Services/TRM/ToolPage.aspx?tid=11817^","Liferay JasperReports")</f>
        <v>Liferay JasperReports</v>
      </c>
      <c r="B4572" s="4" t="s">
        <v>745</v>
      </c>
      <c r="C4572" s="8" t="s">
        <v>5</v>
      </c>
      <c r="D4572" s="11" t="s">
        <v>8171</v>
      </c>
    </row>
    <row r="4573" spans="1:4" ht="30">
      <c r="A4573" s="5" t="str">
        <f>HYPERLINK("https://www.oit.va.gov/Services/TRM/ToolPage.aspx?tid=11818^","Liferay Reports")</f>
        <v>Liferay Reports</v>
      </c>
      <c r="B4573" s="4" t="s">
        <v>745</v>
      </c>
      <c r="C4573" s="8" t="s">
        <v>5</v>
      </c>
      <c r="D4573" s="11" t="s">
        <v>8172</v>
      </c>
    </row>
    <row r="4574" spans="1:4" ht="30">
      <c r="A4574" s="5" t="str">
        <f>HYPERLINK("https://www.oit.va.gov/Services/TRM/ToolPage.aspx?tid=9407^","OneTouch Zoom Pro")</f>
        <v>OneTouch Zoom Pro</v>
      </c>
      <c r="B4574" s="4" t="s">
        <v>3427</v>
      </c>
      <c r="C4574" s="8" t="s">
        <v>5</v>
      </c>
      <c r="D4574" s="11" t="s">
        <v>3428</v>
      </c>
    </row>
    <row r="4575" spans="1:4" ht="30">
      <c r="A4575" s="5" t="str">
        <f>HYPERLINK("https://www.oit.va.gov/Services/TRM/ToolPage.aspx?tid=10730^","Akka")</f>
        <v>Akka</v>
      </c>
      <c r="B4575" s="4" t="s">
        <v>493</v>
      </c>
      <c r="C4575" s="8" t="s">
        <v>5</v>
      </c>
      <c r="D4575" s="11" t="s">
        <v>494</v>
      </c>
    </row>
    <row r="4576" spans="1:4" ht="30">
      <c r="A4576" s="5" t="str">
        <f>HYPERLINK("https://www.oit.va.gov/Services/TRM/ToolPage.aspx?tid=15158^","AGi32")</f>
        <v>AGi32</v>
      </c>
      <c r="B4576" s="4" t="s">
        <v>3721</v>
      </c>
      <c r="C4576" s="8" t="s">
        <v>5</v>
      </c>
      <c r="D4576" s="11" t="s">
        <v>1307</v>
      </c>
    </row>
    <row r="4577" spans="1:4" ht="30">
      <c r="A4577" s="5" t="str">
        <f>HYPERLINK("https://www.oit.va.gov/Services/TRM/ToolPage.aspx?tid=6028^","LightScribe")</f>
        <v>LightScribe</v>
      </c>
      <c r="B4577" s="4" t="s">
        <v>8173</v>
      </c>
      <c r="C4577" s="8" t="s">
        <v>5</v>
      </c>
      <c r="D4577" s="11" t="s">
        <v>8174</v>
      </c>
    </row>
    <row r="4578" spans="1:4" ht="30">
      <c r="A4578" s="5" t="str">
        <f>HYPERLINK("https://www.oit.va.gov/Services/TRM/ToolPage.aspx?tid=9077^","Second Life Viewer")</f>
        <v>Second Life Viewer</v>
      </c>
      <c r="B4578" s="4" t="s">
        <v>2312</v>
      </c>
      <c r="C4578" s="8" t="s">
        <v>5</v>
      </c>
      <c r="D4578" s="11" t="s">
        <v>2313</v>
      </c>
    </row>
    <row r="4579" spans="1:4" ht="30">
      <c r="A4579" s="5" t="str">
        <f>HYPERLINK("https://www.oit.va.gov/Services/TRM/ToolPage.aspx?tid=9550^","LaundryTrak")</f>
        <v>LaundryTrak</v>
      </c>
      <c r="B4579" s="4" t="s">
        <v>6778</v>
      </c>
      <c r="C4579" s="8" t="s">
        <v>5</v>
      </c>
      <c r="D4579" s="11" t="s">
        <v>6779</v>
      </c>
    </row>
    <row r="4580" spans="1:4" ht="30">
      <c r="A4580" s="5" t="str">
        <f>HYPERLINK("https://www.oit.va.gov/Services/TRM/ToolPage.aspx?tid=15558^","Mitsubishi Electric Maintenance Tool (MTool)")</f>
        <v>Mitsubishi Electric Maintenance Tool (MTool)</v>
      </c>
      <c r="B4580" s="4" t="s">
        <v>4436</v>
      </c>
      <c r="C4580" s="8" t="s">
        <v>5</v>
      </c>
      <c r="D4580" s="11" t="s">
        <v>4437</v>
      </c>
    </row>
    <row r="4581" spans="1:4" ht="30">
      <c r="A4581" s="5" t="str">
        <f>HYPERLINK("https://www.oit.va.gov/Services/TRM/ToolPage.aspx?tid=13088^","LINKMED Interface Engine (IE)")</f>
        <v>LINKMED Interface Engine (IE)</v>
      </c>
      <c r="B4581" s="4" t="s">
        <v>8180</v>
      </c>
      <c r="C4581" s="8" t="s">
        <v>5</v>
      </c>
      <c r="D4581" s="11" t="s">
        <v>8181</v>
      </c>
    </row>
    <row r="4582" spans="1:4" ht="30">
      <c r="A4582" s="5" t="str">
        <f>HYPERLINK("https://www.oit.va.gov/Services/TRM/ToolPage.aspx?tid=16046^","PsyCalc")</f>
        <v>PsyCalc</v>
      </c>
      <c r="B4582" s="4" t="s">
        <v>4667</v>
      </c>
      <c r="C4582" s="8" t="s">
        <v>5</v>
      </c>
      <c r="D4582" s="11" t="s">
        <v>4668</v>
      </c>
    </row>
    <row r="4583" spans="1:4" ht="30">
      <c r="A4583" s="5" t="str">
        <f>HYPERLINK("https://www.oit.va.gov/Services/TRM/ToolPage.aspx?tid=11620^","Prometheus")</f>
        <v>Prometheus</v>
      </c>
      <c r="B4583" s="4" t="s">
        <v>1870</v>
      </c>
      <c r="C4583" s="8" t="s">
        <v>5</v>
      </c>
      <c r="D4583" s="11" t="s">
        <v>1278</v>
      </c>
    </row>
    <row r="4584" spans="1:4" ht="30">
      <c r="A4584" s="5" t="str">
        <f>HYPERLINK("https://www.oit.va.gov/Services/TRM/ToolPage.aspx?tid=16041^","containerd")</f>
        <v>containerd</v>
      </c>
      <c r="B4584" s="4" t="s">
        <v>1870</v>
      </c>
      <c r="C4584" s="8" t="s">
        <v>5</v>
      </c>
      <c r="D4584" s="11" t="s">
        <v>3271</v>
      </c>
    </row>
    <row r="4585" spans="1:4" ht="30">
      <c r="A4585" s="5" t="str">
        <f>HYPERLINK("https://www.oit.va.gov/Services/TRM/ToolPage.aspx?tid=15686^","Jaeger")</f>
        <v>Jaeger</v>
      </c>
      <c r="B4585" s="4" t="s">
        <v>1870</v>
      </c>
      <c r="C4585" s="8" t="s">
        <v>5</v>
      </c>
      <c r="D4585" s="11" t="s">
        <v>1413</v>
      </c>
    </row>
    <row r="4586" spans="1:4" ht="30">
      <c r="A4586" s="5" t="str">
        <f>HYPERLINK("https://www.oit.va.gov/Services/TRM/ToolPage.aspx?tid=16461^","Prometheus Node Exporter")</f>
        <v>Prometheus Node Exporter</v>
      </c>
      <c r="B4586" s="4" t="s">
        <v>1870</v>
      </c>
      <c r="C4586" s="8" t="s">
        <v>5</v>
      </c>
      <c r="D4586" s="11" t="s">
        <v>2804</v>
      </c>
    </row>
    <row r="4587" spans="1:4" ht="30">
      <c r="A4587" s="5" t="str">
        <f>HYPERLINK("https://www.oit.va.gov/Services/TRM/ToolPage.aspx?tid=16625^","OpenTofu")</f>
        <v>OpenTofu</v>
      </c>
      <c r="B4587" s="4" t="s">
        <v>1870</v>
      </c>
      <c r="C4587" s="8" t="s">
        <v>5</v>
      </c>
      <c r="D4587" s="11" t="s">
        <v>6973</v>
      </c>
    </row>
    <row r="4588" spans="1:4" ht="30">
      <c r="A4588" s="5" t="str">
        <f>HYPERLINK("https://www.oit.va.gov/Services/TRM/ToolPage.aspx?tid=9996^","Xen Project Hypervisor")</f>
        <v>Xen Project Hypervisor</v>
      </c>
      <c r="B4588" s="4" t="s">
        <v>1870</v>
      </c>
      <c r="C4588" s="8" t="s">
        <v>5</v>
      </c>
      <c r="D4588" s="11" t="s">
        <v>7341</v>
      </c>
    </row>
    <row r="4589" spans="1:4" ht="30">
      <c r="A4589" s="5" t="str">
        <f>HYPERLINK("https://www.oit.va.gov/Services/TRM/ToolPage.aspx?tid=16072^","IO Ping")</f>
        <v>IO Ping</v>
      </c>
      <c r="B4589" s="4" t="s">
        <v>1870</v>
      </c>
      <c r="C4589" s="8" t="s">
        <v>5</v>
      </c>
      <c r="D4589" s="11" t="s">
        <v>8099</v>
      </c>
    </row>
    <row r="4590" spans="1:4" ht="30">
      <c r="A4590" s="5" t="str">
        <f>HYPERLINK("https://www.oit.va.gov/Services/TRM/ToolPage.aspx?tid=14873^","OpenDaylight")</f>
        <v>OpenDaylight</v>
      </c>
      <c r="B4590" s="4" t="s">
        <v>1870</v>
      </c>
      <c r="C4590" s="8" t="s">
        <v>5</v>
      </c>
      <c r="D4590" s="11" t="s">
        <v>5959</v>
      </c>
    </row>
    <row r="4591" spans="1:4" ht="30">
      <c r="A4591" s="5" t="str">
        <f>HYPERLINK("https://www.oit.va.gov/Services/TRM/ToolPage.aspx?tid=7639^","Linux Containers (LXC)")</f>
        <v>Linux Containers (LXC)</v>
      </c>
      <c r="B4591" s="4" t="s">
        <v>2271</v>
      </c>
      <c r="C4591" s="8" t="s">
        <v>5</v>
      </c>
      <c r="D4591" s="11" t="s">
        <v>2272</v>
      </c>
    </row>
    <row r="4592" spans="1:4" ht="30">
      <c r="A4592" s="5" t="str">
        <f>HYPERLINK("https://www.oit.va.gov/Services/TRM/ToolPage.aspx?tid=10444^","DriverTuner")</f>
        <v>DriverTuner</v>
      </c>
      <c r="B4592" s="4" t="s">
        <v>7804</v>
      </c>
      <c r="C4592" s="8" t="s">
        <v>5</v>
      </c>
      <c r="D4592" s="11" t="s">
        <v>3316</v>
      </c>
    </row>
    <row r="4593" spans="1:4" ht="30">
      <c r="A4593" s="5" t="str">
        <f>HYPERLINK("https://www.oit.va.gov/Services/TRM/ToolPage.aspx?tid=7334^","Stedman`s Plus Medical/Pharmaceutical Spellchecker")</f>
        <v>Stedman`s Plus Medical/Pharmaceutical Spellchecker</v>
      </c>
      <c r="B4593" s="4" t="s">
        <v>8733</v>
      </c>
      <c r="C4593" s="8" t="s">
        <v>5</v>
      </c>
      <c r="D4593" s="11" t="s">
        <v>1456</v>
      </c>
    </row>
    <row r="4594" spans="1:4" ht="30">
      <c r="A4594" s="5" t="str">
        <f>HYPERLINK("https://www.oit.va.gov/Services/TRM/ToolPage.aspx?tid=6525^","Liquibase")</f>
        <v>Liquibase</v>
      </c>
      <c r="B4594" s="4" t="s">
        <v>4364</v>
      </c>
      <c r="C4594" s="8" t="s">
        <v>5</v>
      </c>
      <c r="D4594" s="11" t="s">
        <v>4365</v>
      </c>
    </row>
    <row r="4595" spans="1:4" ht="30">
      <c r="A4595" s="5" t="str">
        <f>HYPERLINK("https://www.oit.va.gov/Services/TRM/ToolPage.aspx?tid=13014^","LiquidFiles")</f>
        <v>LiquidFiles</v>
      </c>
      <c r="B4595" s="4" t="s">
        <v>6790</v>
      </c>
      <c r="C4595" s="8" t="s">
        <v>5</v>
      </c>
      <c r="D4595" s="11" t="s">
        <v>6791</v>
      </c>
    </row>
    <row r="4596" spans="1:4" ht="30">
      <c r="A4596" s="5" t="str">
        <f>HYPERLINK("https://www.oit.va.gov/Services/TRM/ToolPage.aspx?tid=7420^","Omnipeek Network Analyzer")</f>
        <v>Omnipeek Network Analyzer</v>
      </c>
      <c r="B4596" s="4" t="s">
        <v>4539</v>
      </c>
      <c r="C4596" s="8" t="s">
        <v>5</v>
      </c>
      <c r="D4596" s="11" t="s">
        <v>1183</v>
      </c>
    </row>
    <row r="4597" spans="1:4" ht="30">
      <c r="A4597" s="5" t="str">
        <f>HYPERLINK("https://www.oit.va.gov/Services/TRM/ToolPage.aspx?tid=14962^","LiveNX")</f>
        <v>LiveNX</v>
      </c>
      <c r="B4597" s="4" t="s">
        <v>4539</v>
      </c>
      <c r="C4597" s="8" t="s">
        <v>5</v>
      </c>
      <c r="D4597" s="11" t="s">
        <v>5916</v>
      </c>
    </row>
    <row r="4598" spans="1:4" ht="30">
      <c r="A4598" s="5" t="str">
        <f>HYPERLINK("https://www.oit.va.gov/Services/TRM/ToolPage.aspx?tid=9595^","LiveCode")</f>
        <v>LiveCode</v>
      </c>
      <c r="B4598" s="4" t="s">
        <v>5309</v>
      </c>
      <c r="C4598" s="8" t="s">
        <v>5</v>
      </c>
      <c r="D4598" s="11" t="s">
        <v>2627</v>
      </c>
    </row>
    <row r="4599" spans="1:4" ht="30">
      <c r="A4599" s="5" t="str">
        <f>HYPERLINK("https://www.oit.va.gov/Services/TRM/ToolPage.aspx?tid=7392^","Echo Desktop")</f>
        <v>Echo Desktop</v>
      </c>
      <c r="B4599" s="4" t="s">
        <v>2530</v>
      </c>
      <c r="C4599" s="8" t="s">
        <v>5</v>
      </c>
      <c r="D4599" s="11" t="s">
        <v>2531</v>
      </c>
    </row>
    <row r="4600" spans="1:4" ht="30">
      <c r="A4600" s="5" t="str">
        <f>HYPERLINK("https://www.oit.va.gov/Services/TRM/ToolPage.aspx?tid=16517^","LiveScribe+ Desktop")</f>
        <v>LiveScribe+ Desktop</v>
      </c>
      <c r="B4600" s="4" t="s">
        <v>2530</v>
      </c>
      <c r="C4600" s="8" t="s">
        <v>5</v>
      </c>
      <c r="D4600" s="11" t="s">
        <v>762</v>
      </c>
    </row>
    <row r="4601" spans="1:4" ht="30">
      <c r="A4601" s="5" t="str">
        <f>HYPERLINK("https://www.oit.va.gov/Services/TRM/ToolPage.aspx?tid=8633^","Remote Process Explorer")</f>
        <v>Remote Process Explorer</v>
      </c>
      <c r="B4601" s="4" t="s">
        <v>5476</v>
      </c>
      <c r="C4601" s="8" t="s">
        <v>5</v>
      </c>
      <c r="D4601" s="11" t="s">
        <v>5477</v>
      </c>
    </row>
    <row r="4602" spans="1:4" ht="30">
      <c r="A4602" s="5" t="str">
        <f>HYPERLINK("https://www.oit.va.gov/Services/TRM/ToolPage.aspx?tid=10544^","LMAX Disruptor")</f>
        <v>LMAX Disruptor</v>
      </c>
      <c r="B4602" s="4" t="s">
        <v>8186</v>
      </c>
      <c r="C4602" s="8" t="s">
        <v>5</v>
      </c>
      <c r="D4602" s="11" t="s">
        <v>5116</v>
      </c>
    </row>
    <row r="4603" spans="1:4" ht="30">
      <c r="A4603" s="5" t="str">
        <f>HYPERLINK("https://www.oit.va.gov/Services/TRM/ToolPage.aspx?tid=9815^","LMD Tools")</f>
        <v>LMD Tools</v>
      </c>
      <c r="B4603" s="4" t="s">
        <v>4373</v>
      </c>
      <c r="C4603" s="8" t="s">
        <v>5</v>
      </c>
      <c r="D4603" s="11" t="s">
        <v>4374</v>
      </c>
    </row>
    <row r="4604" spans="1:4" ht="30">
      <c r="A4604" s="5" t="str">
        <f>HYPERLINK("https://www.oit.va.gov/Services/TRM/ToolPage.aspx?tid=15752^","LocalStack")</f>
        <v>LocalStack</v>
      </c>
      <c r="B4604" s="4" t="s">
        <v>6793</v>
      </c>
      <c r="C4604" s="8" t="s">
        <v>5</v>
      </c>
      <c r="D4604" s="11" t="s">
        <v>6794</v>
      </c>
    </row>
    <row r="4605" spans="1:4" ht="30">
      <c r="A4605" s="5" t="str">
        <f>HYPERLINK("https://www.oit.va.gov/Services/TRM/ToolPage.aspx?tid=16746^","Locust")</f>
        <v>Locust</v>
      </c>
      <c r="B4605" s="4" t="s">
        <v>5919</v>
      </c>
      <c r="C4605" s="8" t="s">
        <v>5</v>
      </c>
      <c r="D4605" s="11" t="s">
        <v>5920</v>
      </c>
    </row>
    <row r="4606" spans="1:4" ht="30">
      <c r="A4606" s="5" t="str">
        <f>HYPERLINK("https://www.oit.va.gov/Services/TRM/ToolPage.aspx?tid=6715^","NiceLabel")</f>
        <v>NiceLabel</v>
      </c>
      <c r="B4606" s="4" t="s">
        <v>4501</v>
      </c>
      <c r="C4606" s="8" t="s">
        <v>5</v>
      </c>
      <c r="D4606" s="11" t="s">
        <v>627</v>
      </c>
    </row>
    <row r="4607" spans="1:4" ht="30">
      <c r="A4607" s="5" t="str">
        <f>HYPERLINK("https://www.oit.va.gov/Services/TRM/ToolPage.aspx?tid=12806^","LogicManager Enterprise Risk Management (ERM)")</f>
        <v>LogicManager Enterprise Risk Management (ERM)</v>
      </c>
      <c r="B4607" s="4" t="s">
        <v>8192</v>
      </c>
      <c r="C4607" s="8" t="s">
        <v>5</v>
      </c>
      <c r="D4607" s="11" t="s">
        <v>8193</v>
      </c>
    </row>
    <row r="4608" spans="1:4" ht="30">
      <c r="A4608" s="5" t="str">
        <f>HYPERLINK("https://www.oit.va.gov/Services/TRM/ToolPage.aspx?tid=15176^","LogicMonitor")</f>
        <v>LogicMonitor</v>
      </c>
      <c r="B4608" s="4" t="s">
        <v>6796</v>
      </c>
      <c r="C4608" s="8" t="s">
        <v>5</v>
      </c>
      <c r="D4608" s="11" t="s">
        <v>6797</v>
      </c>
    </row>
    <row r="4609" spans="1:4" ht="30">
      <c r="A4609" s="5" t="str">
        <f>HYPERLINK("https://www.oit.va.gov/Services/TRM/ToolPage.aspx?tid=9301^","Login Enterprise")</f>
        <v>Login Enterprise</v>
      </c>
      <c r="B4609" s="4" t="s">
        <v>1701</v>
      </c>
      <c r="C4609" s="8" t="s">
        <v>5</v>
      </c>
      <c r="D4609" s="11" t="s">
        <v>1702</v>
      </c>
    </row>
    <row r="4610" spans="1:4" ht="30">
      <c r="A4610" s="5" t="str">
        <f>HYPERLINK("https://www.oit.va.gov/Services/TRM/ToolPage.aspx?tid=8588^","Logitech Webcam Software")</f>
        <v>Logitech Webcam Software</v>
      </c>
      <c r="B4610" s="4" t="s">
        <v>2149</v>
      </c>
      <c r="C4610" s="8" t="s">
        <v>5</v>
      </c>
      <c r="D4610" s="11" t="s">
        <v>2150</v>
      </c>
    </row>
    <row r="4611" spans="1:4" ht="30">
      <c r="A4611" s="5" t="str">
        <f>HYPERLINK("https://www.oit.va.gov/Services/TRM/ToolPage.aspx?tid=9619^","Logitech Unifying Software")</f>
        <v>Logitech Unifying Software</v>
      </c>
      <c r="B4611" s="4" t="s">
        <v>2149</v>
      </c>
      <c r="C4611" s="8" t="s">
        <v>5</v>
      </c>
      <c r="D4611" s="11" t="s">
        <v>360</v>
      </c>
    </row>
    <row r="4612" spans="1:4" ht="30">
      <c r="A4612" s="5" t="str">
        <f>HYPERLINK("https://www.oit.va.gov/Services/TRM/ToolPage.aspx?tid=15480^","G HUB")</f>
        <v>G HUB</v>
      </c>
      <c r="B4612" s="4" t="s">
        <v>2149</v>
      </c>
      <c r="C4612" s="8" t="s">
        <v>5</v>
      </c>
      <c r="D4612" s="11" t="s">
        <v>238</v>
      </c>
    </row>
    <row r="4613" spans="1:4" ht="30">
      <c r="A4613" s="5" t="str">
        <f>HYPERLINK("https://www.oit.va.gov/Services/TRM/ToolPage.aspx?tid=15702^","Logitech Gaming (G) HUB")</f>
        <v>Logitech Gaming (G) HUB</v>
      </c>
      <c r="B4613" s="4" t="s">
        <v>2149</v>
      </c>
      <c r="C4613" s="8" t="s">
        <v>5</v>
      </c>
      <c r="D4613" s="11" t="s">
        <v>3057</v>
      </c>
    </row>
    <row r="4614" spans="1:4" ht="30">
      <c r="A4614" s="5" t="str">
        <f>HYPERLINK("https://www.oit.va.gov/Services/TRM/ToolPage.aspx?tid=13332^","Logitech Gaming Software")</f>
        <v>Logitech Gaming Software</v>
      </c>
      <c r="B4614" s="4" t="s">
        <v>2149</v>
      </c>
      <c r="C4614" s="8" t="s">
        <v>5</v>
      </c>
      <c r="D4614" s="11" t="s">
        <v>1001</v>
      </c>
    </row>
    <row r="4615" spans="1:4" ht="30">
      <c r="A4615" s="5" t="str">
        <f>HYPERLINK("https://www.oit.va.gov/Services/TRM/ToolPage.aspx?tid=12968^","Logitech Options")</f>
        <v>Logitech Options</v>
      </c>
      <c r="B4615" s="4" t="s">
        <v>2149</v>
      </c>
      <c r="C4615" s="8" t="s">
        <v>5</v>
      </c>
      <c r="D4615" s="11" t="s">
        <v>4375</v>
      </c>
    </row>
    <row r="4616" spans="1:4" ht="30">
      <c r="A4616" s="5" t="str">
        <f>HYPERLINK("https://www.oit.va.gov/Services/TRM/ToolPage.aspx?tid=15758^","Logitech Sync")</f>
        <v>Logitech Sync</v>
      </c>
      <c r="B4616" s="4" t="s">
        <v>2149</v>
      </c>
      <c r="C4616" s="8" t="s">
        <v>5</v>
      </c>
      <c r="D4616" s="11" t="s">
        <v>1552</v>
      </c>
    </row>
    <row r="4617" spans="1:4" ht="30">
      <c r="A4617" s="5" t="str">
        <f>HYPERLINK("https://www.oit.va.gov/Services/TRM/ToolPage.aspx?tid=9556^","SetPoint")</f>
        <v>SetPoint</v>
      </c>
      <c r="B4617" s="4" t="s">
        <v>2149</v>
      </c>
      <c r="C4617" s="8" t="s">
        <v>5</v>
      </c>
      <c r="D4617" s="11" t="s">
        <v>6209</v>
      </c>
    </row>
    <row r="4618" spans="1:4" ht="30">
      <c r="A4618" s="5" t="str">
        <f>HYPERLINK("https://www.oit.va.gov/Services/TRM/ToolPage.aspx?tid=14552^","Logitech Capture")</f>
        <v>Logitech Capture</v>
      </c>
      <c r="B4618" s="4" t="s">
        <v>2149</v>
      </c>
      <c r="C4618" s="8" t="s">
        <v>5</v>
      </c>
      <c r="D4618" s="11" t="s">
        <v>6798</v>
      </c>
    </row>
    <row r="4619" spans="1:4" ht="30">
      <c r="A4619" s="5" t="str">
        <f>HYPERLINK("https://www.oit.va.gov/Services/TRM/ToolPage.aspx?tid=15621^","Logitech RightSight")</f>
        <v>Logitech RightSight</v>
      </c>
      <c r="B4619" s="4" t="s">
        <v>2149</v>
      </c>
      <c r="C4619" s="8" t="s">
        <v>5</v>
      </c>
      <c r="D4619" s="11" t="s">
        <v>3806</v>
      </c>
    </row>
    <row r="4620" spans="1:4" ht="30">
      <c r="A4620" s="5" t="str">
        <f>HYPERLINK("https://www.oit.va.gov/Services/TRM/ToolPage.aspx?tid=15595^","Logi Tune")</f>
        <v>Logi Tune</v>
      </c>
      <c r="B4620" s="4" t="s">
        <v>2149</v>
      </c>
      <c r="C4620" s="8" t="s">
        <v>5</v>
      </c>
      <c r="D4620" s="11" t="s">
        <v>834</v>
      </c>
    </row>
    <row r="4621" spans="1:4" ht="30">
      <c r="A4621" s="5" t="str">
        <f>HYPERLINK("https://www.oit.va.gov/Services/TRM/ToolPage.aspx?tid=14194^","Logitech Headset Pairing Utility")</f>
        <v>Logitech Headset Pairing Utility</v>
      </c>
      <c r="B4621" s="4" t="s">
        <v>2149</v>
      </c>
      <c r="C4621" s="8" t="s">
        <v>5</v>
      </c>
      <c r="D4621" s="11" t="s">
        <v>8195</v>
      </c>
    </row>
    <row r="4622" spans="1:4" ht="30">
      <c r="A4622" s="5" t="str">
        <f>HYPERLINK("https://www.oit.va.gov/Services/TRM/ToolPage.aspx?tid=11764^","LogMeIn")</f>
        <v>LogMeIn</v>
      </c>
      <c r="B4622" s="4" t="s">
        <v>8196</v>
      </c>
      <c r="C4622" s="8" t="s">
        <v>5</v>
      </c>
      <c r="D4622" s="11" t="s">
        <v>8197</v>
      </c>
    </row>
    <row r="4623" spans="1:4" ht="30">
      <c r="A4623" s="5" t="str">
        <f>HYPERLINK("https://www.oit.va.gov/Services/TRM/ToolPage.aspx?tid=10282^","LogTag Analyzer")</f>
        <v>LogTag Analyzer</v>
      </c>
      <c r="B4623" s="4" t="s">
        <v>5924</v>
      </c>
      <c r="C4623" s="8" t="s">
        <v>5</v>
      </c>
      <c r="D4623" s="11" t="s">
        <v>2797</v>
      </c>
    </row>
    <row r="4624" spans="1:4" ht="30">
      <c r="A4624" s="5" t="str">
        <f>HYPERLINK("https://www.oit.va.gov/Services/TRM/ToolPage.aspx?tid=9782^","Regenstrief Logical Observation Identifiers Names and Codes (LOINC) Mapping Assistant (RELMA)")</f>
        <v>Regenstrief Logical Observation Identifiers Names and Codes (LOINC) Mapping Assistant (RELMA)</v>
      </c>
      <c r="B4624" s="4" t="s">
        <v>2179</v>
      </c>
      <c r="C4624" s="8" t="s">
        <v>5</v>
      </c>
      <c r="D4624" s="11" t="s">
        <v>2180</v>
      </c>
    </row>
    <row r="4625" spans="1:4" ht="30">
      <c r="A4625" s="5" t="str">
        <f>HYPERLINK("https://www.oit.va.gov/Services/TRM/StandardPage.aspx?tid=5211^","Logical Observation Identifiers Names and Codes (LOINC)")</f>
        <v>Logical Observation Identifiers Names and Codes (LOINC)</v>
      </c>
      <c r="B4625" s="4" t="s">
        <v>2179</v>
      </c>
      <c r="C4625" s="8" t="s">
        <v>5</v>
      </c>
      <c r="D4625" s="11" t="s">
        <v>5311</v>
      </c>
    </row>
    <row r="4626" spans="1:4" ht="30">
      <c r="A4626" s="5" t="str">
        <f>HYPERLINK("https://www.oit.va.gov/Services/TRM/ToolPage.aspx?tid=12812^","Net Page Unlimited")</f>
        <v>Net Page Unlimited</v>
      </c>
      <c r="B4626" s="4" t="s">
        <v>8316</v>
      </c>
      <c r="C4626" s="8" t="s">
        <v>5</v>
      </c>
      <c r="D4626" s="11" t="s">
        <v>8317</v>
      </c>
    </row>
    <row r="4627" spans="1:4" ht="30">
      <c r="A4627" s="5" t="str">
        <f>HYPERLINK("https://www.oit.va.gov/Services/TRM/ToolPage.aspx?tid=15136^","Longbow Reviver")</f>
        <v>Longbow Reviver</v>
      </c>
      <c r="B4627" s="4" t="s">
        <v>6801</v>
      </c>
      <c r="C4627" s="8" t="s">
        <v>5</v>
      </c>
      <c r="D4627" s="11" t="s">
        <v>6802</v>
      </c>
    </row>
    <row r="4628" spans="1:4" ht="30">
      <c r="A4628" s="5" t="str">
        <f>HYPERLINK("https://www.oit.va.gov/Services/TRM/ToolPage.aspx?tid=9931^","Config")</f>
        <v>Config</v>
      </c>
      <c r="B4628" s="4" t="s">
        <v>7690</v>
      </c>
      <c r="C4628" s="8" t="s">
        <v>5</v>
      </c>
      <c r="D4628" s="11" t="s">
        <v>385</v>
      </c>
    </row>
    <row r="4629" spans="1:4" ht="30">
      <c r="A4629" s="5" t="str">
        <f>HYPERLINK("https://www.oit.va.gov/Services/TRM/ToolPage.aspx?tid=11173^","PeakEasy")</f>
        <v>PeakEasy</v>
      </c>
      <c r="B4629" s="4" t="s">
        <v>8415</v>
      </c>
      <c r="C4629" s="8" t="s">
        <v>5</v>
      </c>
      <c r="D4629" s="11" t="s">
        <v>8191</v>
      </c>
    </row>
    <row r="4630" spans="1:4" ht="30">
      <c r="A4630" s="5" t="str">
        <f>HYPERLINK("https://www.oit.va.gov/Services/TRM/ToolPage.aspx?tid=16795^","KoboldCpp")</f>
        <v>KoboldCpp</v>
      </c>
      <c r="B4630" s="4" t="s">
        <v>4332</v>
      </c>
      <c r="C4630" s="8" t="s">
        <v>5</v>
      </c>
      <c r="D4630" s="11" t="s">
        <v>4206</v>
      </c>
    </row>
    <row r="4631" spans="1:4" ht="30">
      <c r="A4631" s="5" t="str">
        <f>HYPERLINK("https://www.oit.va.gov/Services/TRM/ToolPage.aspx?tid=15536^","Life Systems International (LSI) Medical Trenscenter")</f>
        <v>Life Systems International (LSI) Medical Trenscenter</v>
      </c>
      <c r="B4631" s="4" t="s">
        <v>4359</v>
      </c>
      <c r="C4631" s="8" t="s">
        <v>5</v>
      </c>
      <c r="D4631" s="11" t="s">
        <v>4360</v>
      </c>
    </row>
    <row r="4632" spans="1:4" ht="30">
      <c r="A4632" s="5" t="str">
        <f>HYPERLINK("https://www.oit.va.gov/Services/TRM/ToolPage.aspx?tid=6431^","LISTSERV")</f>
        <v>LISTSERV</v>
      </c>
      <c r="B4632" s="4" t="s">
        <v>8183</v>
      </c>
      <c r="C4632" s="8" t="s">
        <v>5</v>
      </c>
      <c r="D4632" s="11" t="s">
        <v>3965</v>
      </c>
    </row>
    <row r="4633" spans="1:4" ht="30">
      <c r="A4633" s="5" t="str">
        <f>HYPERLINK("https://www.oit.va.gov/Services/TRM/ToolPage.aspx?tid=7410^","Lee Silverman Voice Treatment (LSVT) Coach")</f>
        <v>Lee Silverman Voice Treatment (LSVT) Coach</v>
      </c>
      <c r="B4633" s="4" t="s">
        <v>1685</v>
      </c>
      <c r="C4633" s="8" t="s">
        <v>5</v>
      </c>
      <c r="D4633" s="11" t="s">
        <v>1686</v>
      </c>
    </row>
    <row r="4634" spans="1:4" ht="30">
      <c r="A4634" s="5" t="str">
        <f>HYPERLINK("https://www.oit.va.gov/Services/TRM/ToolPage.aspx?tid=14323^","Database (DB) Bullet")</f>
        <v>Database (DB) Bullet</v>
      </c>
      <c r="B4634" s="4" t="s">
        <v>5746</v>
      </c>
      <c r="C4634" s="8" t="s">
        <v>5</v>
      </c>
      <c r="D4634" s="11" t="s">
        <v>384</v>
      </c>
    </row>
    <row r="4635" spans="1:4" ht="30">
      <c r="A4635" s="5" t="str">
        <f>HYPERLINK("https://www.oit.va.gov/Services/TRM/ToolPage.aspx?tid=8775^","Lucee")</f>
        <v>Lucee</v>
      </c>
      <c r="B4635" s="4" t="s">
        <v>5314</v>
      </c>
      <c r="C4635" s="8" t="s">
        <v>5</v>
      </c>
      <c r="D4635" s="11" t="s">
        <v>1268</v>
      </c>
    </row>
    <row r="4636" spans="1:4" ht="30">
      <c r="A4636" s="5" t="str">
        <f>HYPERLINK("https://www.oit.va.gov/Services/TRM/ToolPage.aspx?tid=13753^","Lucidworks Fusion")</f>
        <v>Lucidworks Fusion</v>
      </c>
      <c r="B4636" s="4" t="s">
        <v>5315</v>
      </c>
      <c r="C4636" s="8" t="s">
        <v>5</v>
      </c>
      <c r="D4636" s="11" t="s">
        <v>5316</v>
      </c>
    </row>
    <row r="4637" spans="1:4" ht="30">
      <c r="A4637" s="5" t="str">
        <f>HYPERLINK("https://www.oit.va.gov/Services/TRM/ToolPage.aspx?tid=13752^","Fusion Server")</f>
        <v>Fusion Server</v>
      </c>
      <c r="B4637" s="4" t="s">
        <v>5315</v>
      </c>
      <c r="C4637" s="8" t="s">
        <v>5</v>
      </c>
      <c r="D4637" s="11" t="s">
        <v>5818</v>
      </c>
    </row>
    <row r="4638" spans="1:4" ht="30">
      <c r="A4638" s="5" t="str">
        <f>HYPERLINK("https://www.oit.va.gov/Services/TRM/ToolPage.aspx?tid=14742^","Ludlum Model 375 Webpage and Service Software")</f>
        <v>Ludlum Model 375 Webpage and Service Software</v>
      </c>
      <c r="B4638" s="4" t="s">
        <v>1037</v>
      </c>
      <c r="C4638" s="8" t="s">
        <v>5</v>
      </c>
      <c r="D4638" s="11" t="s">
        <v>1034</v>
      </c>
    </row>
    <row r="4639" spans="1:4" ht="30">
      <c r="A4639" s="5" t="str">
        <f>HYPERLINK("https://www.oit.va.gov/Services/TRM/ToolPage.aspx?tid=7650^","eBeam Capture")</f>
        <v>eBeam Capture</v>
      </c>
      <c r="B4639" s="4" t="s">
        <v>7829</v>
      </c>
      <c r="C4639" s="8" t="s">
        <v>5</v>
      </c>
      <c r="D4639" s="11" t="s">
        <v>7830</v>
      </c>
    </row>
    <row r="4640" spans="1:4" ht="30">
      <c r="A4640" s="5" t="str">
        <f>HYPERLINK("https://www.oit.va.gov/Services/TRM/ToolPage.aspx?tid=11181^","JUnit Viewer")</f>
        <v>JUnit Viewer</v>
      </c>
      <c r="B4640" s="4" t="s">
        <v>8135</v>
      </c>
      <c r="C4640" s="8" t="s">
        <v>5</v>
      </c>
      <c r="D4640" s="11" t="s">
        <v>1652</v>
      </c>
    </row>
    <row r="4641" spans="1:4" ht="30">
      <c r="A4641" s="5" t="str">
        <f>HYPERLINK("https://www.oit.va.gov/Services/TRM/ToolPage.aspx?tid=15340^","Soda PDF")</f>
        <v>Soda PDF</v>
      </c>
      <c r="B4641" s="4" t="s">
        <v>8685</v>
      </c>
      <c r="C4641" s="8" t="s">
        <v>5</v>
      </c>
      <c r="D4641" s="11" t="s">
        <v>5325</v>
      </c>
    </row>
    <row r="4642" spans="1:4" ht="30">
      <c r="A4642" s="5" t="str">
        <f>HYPERLINK("https://www.oit.va.gov/Services/TRM/ToolPage.aspx?tid=10280^","Infinity Capture")</f>
        <v>Infinity Capture</v>
      </c>
      <c r="B4642" s="4" t="s">
        <v>2668</v>
      </c>
      <c r="C4642" s="8" t="s">
        <v>5</v>
      </c>
      <c r="D4642" s="11" t="s">
        <v>1049</v>
      </c>
    </row>
    <row r="4643" spans="1:4" ht="30">
      <c r="A4643" s="5" t="str">
        <f>HYPERLINK("https://www.oit.va.gov/Services/TRM/ToolPage.aspx?tid=10924^","Lumenvox Automated Speech Recognizer")</f>
        <v>Lumenvox Automated Speech Recognizer</v>
      </c>
      <c r="B4643" s="4" t="s">
        <v>2151</v>
      </c>
      <c r="C4643" s="8" t="s">
        <v>5</v>
      </c>
      <c r="D4643" s="11" t="s">
        <v>2152</v>
      </c>
    </row>
    <row r="4644" spans="1:4" ht="30">
      <c r="A4644" s="5" t="str">
        <f>HYPERLINK("https://www.oit.va.gov/Services/TRM/ToolPage.aspx?tid=10927^","Lumenvox Text To Speech (TTS) Server")</f>
        <v>Lumenvox Text To Speech (TTS) Server</v>
      </c>
      <c r="B4644" s="4" t="s">
        <v>2151</v>
      </c>
      <c r="C4644" s="8" t="s">
        <v>5</v>
      </c>
      <c r="D4644" s="11" t="s">
        <v>4378</v>
      </c>
    </row>
    <row r="4645" spans="1:4" ht="30">
      <c r="A4645" s="5" t="str">
        <f>HYPERLINK("https://www.oit.va.gov/Services/TRM/ToolPage.aspx?tid=10925^","Lumenvox Software Development Kits")</f>
        <v>Lumenvox Software Development Kits</v>
      </c>
      <c r="B4645" s="4" t="s">
        <v>2151</v>
      </c>
      <c r="C4645" s="8" t="s">
        <v>5</v>
      </c>
      <c r="D4645" s="11" t="s">
        <v>5317</v>
      </c>
    </row>
    <row r="4646" spans="1:4" ht="30">
      <c r="A4646" s="5" t="str">
        <f>HYPERLINK("https://www.oit.va.gov/Services/TRM/ToolPage.aspx?tid=10926^","Lumenvox Speech Tuner")</f>
        <v>Lumenvox Speech Tuner</v>
      </c>
      <c r="B4646" s="4" t="s">
        <v>2151</v>
      </c>
      <c r="C4646" s="8" t="s">
        <v>5</v>
      </c>
      <c r="D4646" s="11" t="s">
        <v>5317</v>
      </c>
    </row>
    <row r="4647" spans="1:4" ht="30">
      <c r="A4647" s="5" t="str">
        <f>HYPERLINK("https://www.oit.va.gov/Services/TRM/ToolPage.aspx?tid=8142^","AudioNote")</f>
        <v>AudioNote</v>
      </c>
      <c r="B4647" s="4" t="s">
        <v>1143</v>
      </c>
      <c r="C4647" s="8" t="s">
        <v>5</v>
      </c>
      <c r="D4647" s="11" t="s">
        <v>1144</v>
      </c>
    </row>
    <row r="4648" spans="1:4" ht="30">
      <c r="A4648" s="5" t="str">
        <f>HYPERLINK("https://www.oit.va.gov/Services/TRM/ToolPage.aspx?tid=15957^","Luminare")</f>
        <v>Luminare</v>
      </c>
      <c r="B4648" s="4" t="s">
        <v>6807</v>
      </c>
      <c r="C4648" s="8" t="s">
        <v>5</v>
      </c>
      <c r="D4648" s="11" t="s">
        <v>1034</v>
      </c>
    </row>
    <row r="4649" spans="1:4" ht="30">
      <c r="A4649" s="5" t="str">
        <f>HYPERLINK("https://www.oit.va.gov/Services/TRM/ToolPage.aspx?tid=7646^","Editing Like You Should Expect (ELYSE)")</f>
        <v>Editing Like You Should Expect (ELYSE)</v>
      </c>
      <c r="B4649" s="4" t="s">
        <v>7836</v>
      </c>
      <c r="C4649" s="8" t="s">
        <v>5</v>
      </c>
      <c r="D4649" s="11" t="s">
        <v>7321</v>
      </c>
    </row>
    <row r="4650" spans="1:4" ht="30">
      <c r="A4650" s="5" t="str">
        <f>HYPERLINK("https://www.oit.va.gov/Services/TRM/ToolPage.aspx?tid=15811^","Lumion")</f>
        <v>Lumion</v>
      </c>
      <c r="B4650" s="4" t="s">
        <v>749</v>
      </c>
      <c r="C4650" s="8" t="s">
        <v>5</v>
      </c>
      <c r="D4650" s="11" t="s">
        <v>750</v>
      </c>
    </row>
    <row r="4651" spans="1:4" ht="30">
      <c r="A4651" s="5" t="str">
        <f>HYPERLINK("https://www.oit.va.gov/Services/TRM/ToolPage.aspx?tid=6085^","NVivo")</f>
        <v>NVivo</v>
      </c>
      <c r="B4651" s="4" t="s">
        <v>787</v>
      </c>
      <c r="C4651" s="8" t="s">
        <v>5</v>
      </c>
      <c r="D4651" s="11" t="s">
        <v>788</v>
      </c>
    </row>
    <row r="4652" spans="1:4" ht="30">
      <c r="A4652" s="5" t="str">
        <f>HYPERLINK("https://www.oit.va.gov/Services/TRM/ToolPage.aspx?tid=8205^","PrecisionTree")</f>
        <v>PrecisionTree</v>
      </c>
      <c r="B4652" s="4" t="s">
        <v>787</v>
      </c>
      <c r="C4652" s="8" t="s">
        <v>5</v>
      </c>
      <c r="D4652" s="11" t="s">
        <v>1084</v>
      </c>
    </row>
    <row r="4653" spans="1:4" ht="30">
      <c r="A4653" s="5" t="str">
        <f>HYPERLINK("https://www.oit.va.gov/Services/TRM/ToolPage.aspx?tid=14995^","Vulkan Software Development Kit (SDK)")</f>
        <v>Vulkan Software Development Kit (SDK)</v>
      </c>
      <c r="B4653" s="4" t="s">
        <v>2201</v>
      </c>
      <c r="C4653" s="8" t="s">
        <v>5</v>
      </c>
      <c r="D4653" s="11" t="s">
        <v>2064</v>
      </c>
    </row>
    <row r="4654" spans="1:4" ht="30">
      <c r="A4654" s="5" t="str">
        <f>HYPERLINK("https://www.oit.va.gov/Services/TRM/ToolPage.aspx?tid=10344^","LungView")</f>
        <v>LungView</v>
      </c>
      <c r="B4654" s="4" t="s">
        <v>2201</v>
      </c>
      <c r="C4654" s="8" t="s">
        <v>5</v>
      </c>
      <c r="D4654" s="11" t="s">
        <v>1236</v>
      </c>
    </row>
    <row r="4655" spans="1:4" ht="30">
      <c r="A4655" s="5" t="str">
        <f>HYPERLINK("https://www.oit.va.gov/Services/TRM/ToolPage.aspx?tid=15538^","Lutech Medical Viewer Software")</f>
        <v>Lutech Medical Viewer Software</v>
      </c>
      <c r="B4655" s="4" t="s">
        <v>2273</v>
      </c>
      <c r="C4655" s="8" t="s">
        <v>5</v>
      </c>
      <c r="D4655" s="11" t="s">
        <v>599</v>
      </c>
    </row>
    <row r="4656" spans="1:4" ht="30">
      <c r="A4656" s="5" t="str">
        <f>HYPERLINK("https://www.oit.va.gov/Services/TRM/ToolPage.aspx?tid=10792^","Quantum Vue")</f>
        <v>Quantum Vue</v>
      </c>
      <c r="B4656" s="4" t="s">
        <v>1880</v>
      </c>
      <c r="C4656" s="8" t="s">
        <v>5</v>
      </c>
      <c r="D4656" s="11" t="s">
        <v>1881</v>
      </c>
    </row>
    <row r="4657" spans="1:4" ht="30">
      <c r="A4657" s="5" t="str">
        <f>HYPERLINK("https://www.oit.va.gov/Services/TRM/ToolPage.aspx?tid=14502^","MagniLink PCViewer")</f>
        <v>MagniLink PCViewer</v>
      </c>
      <c r="B4657" s="4" t="s">
        <v>4385</v>
      </c>
      <c r="C4657" s="8" t="s">
        <v>5</v>
      </c>
      <c r="D4657" s="11" t="s">
        <v>3683</v>
      </c>
    </row>
    <row r="4658" spans="1:4" ht="30">
      <c r="A4658" s="5" t="str">
        <f>HYPERLINK("https://www.oit.va.gov/Services/TRM/ToolPage.aspx?tid=13944^","Hilo Digital-to-Analog Conversion (DAC) Driver")</f>
        <v>Hilo Digital-to-Analog Conversion (DAC) Driver</v>
      </c>
      <c r="B4658" s="4" t="s">
        <v>2641</v>
      </c>
      <c r="C4658" s="8" t="s">
        <v>5</v>
      </c>
      <c r="D4658" s="11" t="s">
        <v>2642</v>
      </c>
    </row>
    <row r="4659" spans="1:4" ht="30">
      <c r="A4659" s="5" t="str">
        <f>HYPERLINK("https://www.oit.va.gov/Services/TRM/ToolPage.aspx?tid=10321^","Lynx Photo Management")</f>
        <v>Lynx Photo Management</v>
      </c>
      <c r="B4659" s="4" t="s">
        <v>432</v>
      </c>
      <c r="C4659" s="8" t="s">
        <v>5</v>
      </c>
      <c r="D4659" s="11" t="s">
        <v>433</v>
      </c>
    </row>
    <row r="4660" spans="1:4" ht="30">
      <c r="A4660" s="5" t="str">
        <f>HYPERLINK("https://www.oit.va.gov/Services/TRM/ToolPage.aspx?tid=13654^","VisionFocus Software")</f>
        <v>VisionFocus Software</v>
      </c>
      <c r="B4660" s="4" t="s">
        <v>8885</v>
      </c>
      <c r="C4660" s="8" t="s">
        <v>5</v>
      </c>
      <c r="D4660" s="11" t="s">
        <v>8886</v>
      </c>
    </row>
    <row r="4661" spans="1:4" ht="30">
      <c r="A4661" s="5" t="str">
        <f>HYPERLINK("https://www.oit.va.gov/Services/TRM/ToolPage.aspx?tid=14010^","LyX")</f>
        <v>LyX</v>
      </c>
      <c r="B4661" s="4" t="s">
        <v>6808</v>
      </c>
      <c r="C4661" s="8" t="s">
        <v>5</v>
      </c>
      <c r="D4661" s="11" t="s">
        <v>444</v>
      </c>
    </row>
    <row r="4662" spans="1:4" ht="30">
      <c r="A4662" s="5" t="str">
        <f>HYPERLINK("https://www.oit.va.gov/Services/TRM/ToolPage.aspx?tid=7046^","Enterprise Web Developer (EWD).js")</f>
        <v>Enterprise Web Developer (EWD).js</v>
      </c>
      <c r="B4662" s="4" t="s">
        <v>2554</v>
      </c>
      <c r="C4662" s="8" t="s">
        <v>5</v>
      </c>
      <c r="D4662" s="11" t="s">
        <v>2555</v>
      </c>
    </row>
    <row r="4663" spans="1:4" ht="30">
      <c r="A4663" s="5" t="str">
        <f>HYPERLINK("https://www.oit.va.gov/Services/TRM/ToolPage.aspx?tid=10907^","MvcSiteMapProvider")</f>
        <v>MvcSiteMapProvider</v>
      </c>
      <c r="B4663" s="4" t="s">
        <v>8294</v>
      </c>
      <c r="C4663" s="8" t="s">
        <v>5</v>
      </c>
      <c r="D4663" s="11" t="s">
        <v>7239</v>
      </c>
    </row>
    <row r="4664" spans="1:4" ht="30">
      <c r="A4664" s="5" t="str">
        <f>HYPERLINK("https://www.oit.va.gov/Services/TRM/ToolPage.aspx?tid=8024^","Media Converter")</f>
        <v>Media Converter</v>
      </c>
      <c r="B4664" s="4" t="s">
        <v>5327</v>
      </c>
      <c r="C4664" s="8" t="s">
        <v>5</v>
      </c>
      <c r="D4664" s="11" t="s">
        <v>4303</v>
      </c>
    </row>
    <row r="4665" spans="1:4" ht="30">
      <c r="A4665" s="5" t="str">
        <f>HYPERLINK("https://www.oit.va.gov/Services/TRM/ToolPage.aspx?tid=16645^","Mach7 eUnity Enterprise Viewer")</f>
        <v>Mach7 eUnity Enterprise Viewer</v>
      </c>
      <c r="B4665" s="4" t="s">
        <v>2742</v>
      </c>
      <c r="C4665" s="8" t="s">
        <v>5</v>
      </c>
      <c r="D4665" s="11" t="s">
        <v>2743</v>
      </c>
    </row>
    <row r="4666" spans="1:4" ht="30">
      <c r="A4666" s="5" t="str">
        <f>HYPERLINK("https://www.oit.va.gov/Services/TRM/ToolPage.aspx?tid=8702^","Customer Information Control System (CICS) Forward Recovery System (FRS)")</f>
        <v>Customer Information Control System (CICS) Forward Recovery System (FRS)</v>
      </c>
      <c r="B4666" s="4" t="s">
        <v>503</v>
      </c>
      <c r="C4666" s="8" t="s">
        <v>5</v>
      </c>
      <c r="D4666" s="11" t="s">
        <v>504</v>
      </c>
    </row>
    <row r="4667" spans="1:4" ht="30">
      <c r="A4667" s="5" t="str">
        <f>HYPERLINK("https://www.oit.va.gov/Services/TRM/ToolPage.aspx?tid=8568^","Customer Information Control System (CICS)/Morning News")</f>
        <v>Customer Information Control System (CICS)/Morning News</v>
      </c>
      <c r="B4667" s="4" t="s">
        <v>503</v>
      </c>
      <c r="C4667" s="8" t="s">
        <v>5</v>
      </c>
      <c r="D4667" s="11" t="s">
        <v>962</v>
      </c>
    </row>
    <row r="4668" spans="1:4" ht="30">
      <c r="A4668" s="5" t="str">
        <f>HYPERLINK("https://www.oit.va.gov/Services/TRM/ToolPage.aspx?tid=9202^","Customer Information Control System (CICS)/MAPR II")</f>
        <v>Customer Information Control System (CICS)/MAPR II</v>
      </c>
      <c r="B4668" s="4" t="s">
        <v>503</v>
      </c>
      <c r="C4668" s="8" t="s">
        <v>5</v>
      </c>
      <c r="D4668" s="11" t="s">
        <v>1472</v>
      </c>
    </row>
    <row r="4669" spans="1:4" ht="30">
      <c r="A4669" s="5" t="str">
        <f>HYPERLINK("https://www.oit.va.gov/Services/TRM/ToolPage.aspx?tid=8569^","Customer Information Control System (CICS)/Spy")</f>
        <v>Customer Information Control System (CICS)/Spy</v>
      </c>
      <c r="B4669" s="4" t="s">
        <v>503</v>
      </c>
      <c r="C4669" s="8" t="s">
        <v>5</v>
      </c>
      <c r="D4669" s="11" t="s">
        <v>3237</v>
      </c>
    </row>
    <row r="4670" spans="1:4" ht="30">
      <c r="A4670" s="5" t="str">
        <f>HYPERLINK("https://www.oit.va.gov/Services/TRM/ToolPage.aspx?tid=11058^","iClicker")</f>
        <v>iClicker</v>
      </c>
      <c r="B4670" s="4" t="s">
        <v>5238</v>
      </c>
      <c r="C4670" s="8" t="s">
        <v>5</v>
      </c>
      <c r="D4670" s="11" t="s">
        <v>1159</v>
      </c>
    </row>
    <row r="4671" spans="1:4" ht="30">
      <c r="A4671" s="5" t="str">
        <f>HYPERLINK("https://www.oit.va.gov/Services/TRM/ToolPage.aspx?tid=13071^","The Unarchiver")</f>
        <v>The Unarchiver</v>
      </c>
      <c r="B4671" s="4" t="s">
        <v>8802</v>
      </c>
      <c r="C4671" s="8" t="s">
        <v>5</v>
      </c>
      <c r="D4671" s="11" t="s">
        <v>6412</v>
      </c>
    </row>
    <row r="4672" spans="1:4" ht="30">
      <c r="A4672" s="5" t="str">
        <f>HYPERLINK("https://www.oit.va.gov/Services/TRM/ToolPage.aspx?tid=15824^","iExplorer")</f>
        <v>iExplorer</v>
      </c>
      <c r="B4672" s="4" t="s">
        <v>4246</v>
      </c>
      <c r="C4672" s="8" t="s">
        <v>5</v>
      </c>
      <c r="D4672" s="11" t="s">
        <v>4247</v>
      </c>
    </row>
    <row r="4673" spans="1:4" ht="30">
      <c r="A4673" s="5" t="str">
        <f>HYPERLINK("https://www.oit.va.gov/Services/TRM/ToolPage.aspx?tid=7337^","Doc-To-Help")</f>
        <v>Doc-To-Help</v>
      </c>
      <c r="B4673" s="4" t="s">
        <v>391</v>
      </c>
      <c r="C4673" s="8" t="s">
        <v>5</v>
      </c>
      <c r="D4673" s="11" t="s">
        <v>392</v>
      </c>
    </row>
    <row r="4674" spans="1:4" ht="30">
      <c r="A4674" s="5" t="str">
        <f>HYPERLINK("https://www.oit.va.gov/Services/TRM/ToolPage.aspx?tid=16122^","Speech Intelligibility Test (SIT)")</f>
        <v>Speech Intelligibility Test (SIT)</v>
      </c>
      <c r="B4674" s="4" t="s">
        <v>6081</v>
      </c>
      <c r="C4674" s="8" t="s">
        <v>5</v>
      </c>
      <c r="D4674" s="11" t="s">
        <v>6082</v>
      </c>
    </row>
    <row r="4675" spans="1:4" ht="30">
      <c r="A4675" s="5" t="str">
        <f>HYPERLINK("https://www.oit.va.gov/Services/TRM/ToolPage.aspx?tid=11445^","Visual Studio Extensibility Tools")</f>
        <v>Visual Studio Extensibility Tools</v>
      </c>
      <c r="B4675" s="4" t="s">
        <v>1253</v>
      </c>
      <c r="C4675" s="8" t="s">
        <v>5</v>
      </c>
      <c r="D4675" s="11" t="s">
        <v>1254</v>
      </c>
    </row>
    <row r="4676" spans="1:4" ht="30">
      <c r="A4676" s="5" t="str">
        <f>HYPERLINK("https://www.oit.va.gov/Services/TRM/ToolPage.aspx?tid=7677^","Magic xpa Application Platform")</f>
        <v>Magic xpa Application Platform</v>
      </c>
      <c r="B4676" s="4" t="s">
        <v>5319</v>
      </c>
      <c r="C4676" s="8" t="s">
        <v>5</v>
      </c>
      <c r="D4676" s="11" t="s">
        <v>5320</v>
      </c>
    </row>
    <row r="4677" spans="1:4" ht="30">
      <c r="A4677" s="5" t="str">
        <f>HYPERLINK("https://www.oit.va.gov/Services/TRM/ToolPage.aspx?tid=16031^","Magical Jelly Bean KeyFinder")</f>
        <v>Magical Jelly Bean KeyFinder</v>
      </c>
      <c r="B4677" s="4" t="s">
        <v>8204</v>
      </c>
      <c r="C4677" s="8" t="s">
        <v>5</v>
      </c>
      <c r="D4677" s="11" t="s">
        <v>8205</v>
      </c>
    </row>
    <row r="4678" spans="1:4" ht="30">
      <c r="A4678" s="5" t="str">
        <f>HYPERLINK("https://www.oit.va.gov/Services/TRM/ToolPage.aspx?tid=7699^","Vegas Pro")</f>
        <v>Vegas Pro</v>
      </c>
      <c r="B4678" s="4" t="s">
        <v>4954</v>
      </c>
      <c r="C4678" s="8" t="s">
        <v>5</v>
      </c>
      <c r="D4678" s="11" t="s">
        <v>890</v>
      </c>
    </row>
    <row r="4679" spans="1:4" ht="30">
      <c r="A4679" s="5" t="str">
        <f>HYPERLINK("https://www.oit.va.gov/Services/TRM/ToolPage.aspx?tid=15534^","Magnatag LetterEasy")</f>
        <v>Magnatag LetterEasy</v>
      </c>
      <c r="B4679" s="4" t="s">
        <v>8206</v>
      </c>
      <c r="C4679" s="8" t="s">
        <v>5</v>
      </c>
      <c r="D4679" s="11" t="s">
        <v>3130</v>
      </c>
    </row>
    <row r="4680" spans="1:4" ht="30">
      <c r="A4680" s="5" t="str">
        <f>HYPERLINK("https://www.oit.va.gov/Services/TRM/ToolPage.aspx?tid=10118^","MagView Mammography Information System")</f>
        <v>MagView Mammography Information System</v>
      </c>
      <c r="B4680" s="4" t="s">
        <v>2746</v>
      </c>
      <c r="C4680" s="8" t="s">
        <v>5</v>
      </c>
      <c r="D4680" s="11" t="s">
        <v>1296</v>
      </c>
    </row>
    <row r="4681" spans="1:4" ht="30">
      <c r="A4681" s="5" t="str">
        <f>HYPERLINK("https://www.oit.va.gov/Services/TRM/ToolPage.aspx?tid=13450^","Mailplane")</f>
        <v>Mailplane</v>
      </c>
      <c r="B4681" s="4" t="s">
        <v>8210</v>
      </c>
      <c r="C4681" s="8" t="s">
        <v>5</v>
      </c>
      <c r="D4681" s="11" t="s">
        <v>5242</v>
      </c>
    </row>
    <row r="4682" spans="1:4" ht="30">
      <c r="A4682" s="5" t="str">
        <f>HYPERLINK("https://www.oit.va.gov/Services/TRM/ToolPage.aspx?tid=7057^","Maine Standards Data Reduction (MSDRx)")</f>
        <v>Maine Standards Data Reduction (MSDRx)</v>
      </c>
      <c r="B4682" s="4" t="s">
        <v>8211</v>
      </c>
      <c r="C4682" s="8" t="s">
        <v>5</v>
      </c>
      <c r="D4682" s="11" t="s">
        <v>8212</v>
      </c>
    </row>
    <row r="4683" spans="1:4" ht="30">
      <c r="A4683" s="5" t="str">
        <f>HYPERLINK("https://www.oit.va.gov/Services/TRM/ToolPage.aspx?tid=10036^","Chem-Labels for Windows")</f>
        <v>Chem-Labels for Windows</v>
      </c>
      <c r="B4683" s="4" t="s">
        <v>7637</v>
      </c>
      <c r="C4683" s="8" t="s">
        <v>5</v>
      </c>
      <c r="D4683" s="11" t="s">
        <v>7638</v>
      </c>
    </row>
    <row r="4684" spans="1:4" ht="30">
      <c r="A4684" s="5" t="str">
        <f>HYPERLINK("https://www.oit.va.gov/Services/TRM/ToolPage.aspx?tid=14993^","MakerBot Print")</f>
        <v>MakerBot Print</v>
      </c>
      <c r="B4684" s="4" t="s">
        <v>4387</v>
      </c>
      <c r="C4684" s="8" t="s">
        <v>5</v>
      </c>
      <c r="D4684" s="11" t="s">
        <v>4117</v>
      </c>
    </row>
    <row r="4685" spans="1:4" ht="30">
      <c r="A4685" s="5" t="str">
        <f>HYPERLINK("https://www.oit.va.gov/Services/TRM/ToolPage.aspx?tid=15343^","VoiceArrest Sound Masking System Project Manager Software")</f>
        <v>VoiceArrest Sound Masking System Project Manager Software</v>
      </c>
      <c r="B4685" s="4" t="s">
        <v>274</v>
      </c>
      <c r="C4685" s="8" t="s">
        <v>5</v>
      </c>
      <c r="D4685" s="11" t="s">
        <v>275</v>
      </c>
    </row>
    <row r="4686" spans="1:4" ht="30">
      <c r="A4686" s="5" t="str">
        <f>HYPERLINK("https://www.oit.va.gov/Services/TRM/ToolPage.aspx?tid=16496^","Mamba")</f>
        <v>Mamba</v>
      </c>
      <c r="B4686" s="4" t="s">
        <v>6815</v>
      </c>
      <c r="C4686" s="8" t="s">
        <v>5</v>
      </c>
      <c r="D4686" s="11" t="s">
        <v>6816</v>
      </c>
    </row>
    <row r="4687" spans="1:4" ht="30">
      <c r="A4687" s="5" t="str">
        <f>HYPERLINK("https://www.oit.va.gov/Services/TRM/ToolPage.aspx?tid=7421^","ADManager Plus")</f>
        <v>ADManager Plus</v>
      </c>
      <c r="B4687" s="4" t="s">
        <v>3702</v>
      </c>
      <c r="C4687" s="8" t="s">
        <v>5</v>
      </c>
      <c r="D4687" s="11" t="s">
        <v>2937</v>
      </c>
    </row>
    <row r="4688" spans="1:4" ht="30">
      <c r="A4688" s="5" t="str">
        <f>HYPERLINK("https://www.oit.va.gov/Services/TRM/ToolPage.aspx?tid=14637^","ManageEngine Mib Browser")</f>
        <v>ManageEngine Mib Browser</v>
      </c>
      <c r="B4688" s="4" t="s">
        <v>3702</v>
      </c>
      <c r="C4688" s="8" t="s">
        <v>5</v>
      </c>
      <c r="D4688" s="11" t="s">
        <v>6817</v>
      </c>
    </row>
    <row r="4689" spans="1:4" ht="30">
      <c r="A4689" s="5" t="str">
        <f>HYPERLINK("https://www.oit.va.gov/Services/TRM/ToolPage.aspx?tid=10121^","OpUtils")</f>
        <v>OpUtils</v>
      </c>
      <c r="B4689" s="4" t="s">
        <v>3702</v>
      </c>
      <c r="C4689" s="8" t="s">
        <v>5</v>
      </c>
      <c r="D4689" s="11" t="s">
        <v>2845</v>
      </c>
    </row>
    <row r="4690" spans="1:4" ht="30">
      <c r="A4690" s="5" t="str">
        <f>HYPERLINK("https://www.oit.va.gov/Services/TRM/ToolPage.aspx?tid=9749^","ManagerPlus Desktop")</f>
        <v>ManagerPlus Desktop</v>
      </c>
      <c r="B4690" s="4" t="s">
        <v>4389</v>
      </c>
      <c r="C4690" s="8" t="s">
        <v>5</v>
      </c>
      <c r="D4690" s="11" t="s">
        <v>4390</v>
      </c>
    </row>
    <row r="4691" spans="1:4" ht="30">
      <c r="A4691" s="5" t="str">
        <f>HYPERLINK("https://www.oit.va.gov/Services/TRM/ToolPage.aspx?tid=14705^","Mandarin Library Automation")</f>
        <v>Mandarin Library Automation</v>
      </c>
      <c r="B4691" s="4" t="s">
        <v>42</v>
      </c>
      <c r="C4691" s="8" t="s">
        <v>5</v>
      </c>
      <c r="D4691" s="11" t="s">
        <v>43</v>
      </c>
    </row>
    <row r="4692" spans="1:4" ht="30">
      <c r="A4692" s="5" t="str">
        <f>HYPERLINK("https://www.oit.va.gov/Services/TRM/ToolPage.aspx?tid=16112^","Electronic Signature Extension")</f>
        <v>Electronic Signature Extension</v>
      </c>
      <c r="B4692" s="4" t="s">
        <v>2540</v>
      </c>
      <c r="C4692" s="8" t="s">
        <v>5</v>
      </c>
      <c r="D4692" s="11" t="s">
        <v>582</v>
      </c>
    </row>
    <row r="4693" spans="1:4" ht="30">
      <c r="A4693" s="5" t="str">
        <f>HYPERLINK("https://www.oit.va.gov/Services/TRM/ToolPage.aspx?tid=16109^","Campaign Monitor Extension")</f>
        <v>Campaign Monitor Extension</v>
      </c>
      <c r="B4693" s="4" t="s">
        <v>2540</v>
      </c>
      <c r="C4693" s="8" t="s">
        <v>5</v>
      </c>
      <c r="D4693" s="11" t="s">
        <v>1415</v>
      </c>
    </row>
    <row r="4694" spans="1:4" ht="30">
      <c r="A4694" s="5" t="str">
        <f>HYPERLINK("https://www.oit.va.gov/Services/TRM/ToolPage.aspx?tid=16101^","Gaming Mechanics")</f>
        <v>Gaming Mechanics</v>
      </c>
      <c r="B4694" s="4" t="s">
        <v>2540</v>
      </c>
      <c r="C4694" s="8" t="s">
        <v>5</v>
      </c>
      <c r="D4694" s="11" t="s">
        <v>211</v>
      </c>
    </row>
    <row r="4695" spans="1:4" ht="30">
      <c r="A4695" s="5" t="str">
        <f>HYPERLINK("https://www.oit.va.gov/Services/TRM/ToolPage.aspx?tid=16113^","Helpdesk Extension")</f>
        <v>Helpdesk Extension</v>
      </c>
      <c r="B4695" s="4" t="s">
        <v>2540</v>
      </c>
      <c r="C4695" s="8" t="s">
        <v>5</v>
      </c>
      <c r="D4695" s="11" t="s">
        <v>4222</v>
      </c>
    </row>
    <row r="4696" spans="1:4" ht="30">
      <c r="A4696" s="5" t="str">
        <f>HYPERLINK("https://www.oit.va.gov/Services/TRM/ToolPage.aspx?tid=16078^","Live Accordion")</f>
        <v>Live Accordion</v>
      </c>
      <c r="B4696" s="4" t="s">
        <v>2540</v>
      </c>
      <c r="C4696" s="8" t="s">
        <v>5</v>
      </c>
      <c r="D4696" s="11" t="s">
        <v>2730</v>
      </c>
    </row>
    <row r="4697" spans="1:4" ht="30">
      <c r="A4697" s="5" t="str">
        <f>HYPERLINK("https://www.oit.va.gov/Services/TRM/ToolPage.aspx?tid=16080^","Live Articles")</f>
        <v>Live Articles</v>
      </c>
      <c r="B4697" s="4" t="s">
        <v>2540</v>
      </c>
      <c r="C4697" s="8" t="s">
        <v>5</v>
      </c>
      <c r="D4697" s="11" t="s">
        <v>2730</v>
      </c>
    </row>
    <row r="4698" spans="1:4" ht="30">
      <c r="A4698" s="5" t="str">
        <f>HYPERLINK("https://www.oit.va.gov/Services/TRM/ToolPage.aspx?tid=16070^","Live Blog")</f>
        <v>Live Blog</v>
      </c>
      <c r="B4698" s="4" t="s">
        <v>2540</v>
      </c>
      <c r="C4698" s="8" t="s">
        <v>5</v>
      </c>
      <c r="D4698" s="11" t="s">
        <v>931</v>
      </c>
    </row>
    <row r="4699" spans="1:4" ht="30">
      <c r="A4699" s="5" t="str">
        <f>HYPERLINK("https://www.oit.va.gov/Services/TRM/ToolPage.aspx?tid=16079^","Live Campaign")</f>
        <v>Live Campaign</v>
      </c>
      <c r="B4699" s="4" t="s">
        <v>2540</v>
      </c>
      <c r="C4699" s="8" t="s">
        <v>5</v>
      </c>
      <c r="D4699" s="11" t="s">
        <v>1723</v>
      </c>
    </row>
    <row r="4700" spans="1:4" ht="30">
      <c r="A4700" s="5" t="str">
        <f>HYPERLINK("https://www.oit.va.gov/Services/TRM/ToolPage.aspx?tid=16092^","Live Compliance")</f>
        <v>Live Compliance</v>
      </c>
      <c r="B4700" s="4" t="s">
        <v>2540</v>
      </c>
      <c r="C4700" s="8" t="s">
        <v>5</v>
      </c>
      <c r="D4700" s="11" t="s">
        <v>4367</v>
      </c>
    </row>
    <row r="4701" spans="1:4" ht="30">
      <c r="A4701" s="5" t="str">
        <f>HYPERLINK("https://www.oit.va.gov/Services/TRM/ToolPage.aspx?tid=16077^","Live Content")</f>
        <v>Live Content</v>
      </c>
      <c r="B4701" s="4" t="s">
        <v>2540</v>
      </c>
      <c r="C4701" s="8" t="s">
        <v>5</v>
      </c>
      <c r="D4701" s="11" t="s">
        <v>4368</v>
      </c>
    </row>
    <row r="4702" spans="1:4" ht="30">
      <c r="A4702" s="5" t="str">
        <f>HYPERLINK("https://www.oit.va.gov/Services/TRM/ToolPage.aspx?tid=16055^","Live Exchange")</f>
        <v>Live Exchange</v>
      </c>
      <c r="B4702" s="4" t="s">
        <v>2540</v>
      </c>
      <c r="C4702" s="8" t="s">
        <v>5</v>
      </c>
      <c r="D4702" s="11" t="s">
        <v>931</v>
      </c>
    </row>
    <row r="4703" spans="1:4" ht="30">
      <c r="A4703" s="5" t="str">
        <f>HYPERLINK("https://www.oit.va.gov/Services/TRM/ToolPage.aspx?tid=16097^","Live Forums")</f>
        <v>Live Forums</v>
      </c>
      <c r="B4703" s="4" t="s">
        <v>2540</v>
      </c>
      <c r="C4703" s="8" t="s">
        <v>5</v>
      </c>
      <c r="D4703" s="11" t="s">
        <v>4369</v>
      </c>
    </row>
    <row r="4704" spans="1:4" ht="30">
      <c r="A4704" s="5" t="str">
        <f>HYPERLINK("https://www.oit.va.gov/Services/TRM/ToolPage.aspx?tid=16093^","Live Images")</f>
        <v>Live Images</v>
      </c>
      <c r="B4704" s="4" t="s">
        <v>2540</v>
      </c>
      <c r="C4704" s="8" t="s">
        <v>5</v>
      </c>
      <c r="D4704" s="11" t="s">
        <v>4370</v>
      </c>
    </row>
    <row r="4705" spans="1:4" ht="30">
      <c r="A4705" s="5" t="str">
        <f>HYPERLINK("https://www.oit.va.gov/Services/TRM/ToolPage.aspx?tid=16089^","Live Slider")</f>
        <v>Live Slider</v>
      </c>
      <c r="B4705" s="4" t="s">
        <v>2540</v>
      </c>
      <c r="C4705" s="8" t="s">
        <v>5</v>
      </c>
      <c r="D4705" s="11" t="s">
        <v>4371</v>
      </c>
    </row>
    <row r="4706" spans="1:4" ht="30">
      <c r="A4706" s="5" t="str">
        <f>HYPERLINK("https://www.oit.va.gov/Services/TRM/ToolPage.aspx?tid=16121^","Live Tokens")</f>
        <v>Live Tokens</v>
      </c>
      <c r="B4706" s="4" t="s">
        <v>2540</v>
      </c>
      <c r="C4706" s="8" t="s">
        <v>5</v>
      </c>
      <c r="D4706" s="11" t="s">
        <v>2311</v>
      </c>
    </row>
    <row r="4707" spans="1:4" ht="30">
      <c r="A4707" s="5" t="str">
        <f>HYPERLINK("https://www.oit.va.gov/Services/TRM/ToolPage.aspx?tid=16095^","Live Tooltip")</f>
        <v>Live Tooltip</v>
      </c>
      <c r="B4707" s="4" t="s">
        <v>2540</v>
      </c>
      <c r="C4707" s="8" t="s">
        <v>5</v>
      </c>
      <c r="D4707" s="11" t="s">
        <v>2311</v>
      </c>
    </row>
    <row r="4708" spans="1:4" ht="30">
      <c r="A4708" s="5" t="str">
        <f>HYPERLINK("https://www.oit.va.gov/Services/TRM/ToolPage.aspx?tid=16099^","Live Utilities")</f>
        <v>Live Utilities</v>
      </c>
      <c r="B4708" s="4" t="s">
        <v>2540</v>
      </c>
      <c r="C4708" s="8" t="s">
        <v>5</v>
      </c>
      <c r="D4708" s="11" t="s">
        <v>2311</v>
      </c>
    </row>
    <row r="4709" spans="1:4" ht="30">
      <c r="A4709" s="5" t="str">
        <f>HYPERLINK("https://www.oit.va.gov/Services/TRM/ToolPage.aspx?tid=16096^","Page Protection")</f>
        <v>Page Protection</v>
      </c>
      <c r="B4709" s="4" t="s">
        <v>2540</v>
      </c>
      <c r="C4709" s="8" t="s">
        <v>5</v>
      </c>
      <c r="D4709" s="11" t="s">
        <v>1575</v>
      </c>
    </row>
    <row r="4710" spans="1:4" ht="30">
      <c r="A4710" s="5" t="str">
        <f>HYPERLINK("https://www.oit.va.gov/Services/TRM/ToolPage.aspx?tid=16107^","Portable Document Format (PDF) Generator Extension")</f>
        <v>Portable Document Format (PDF) Generator Extension</v>
      </c>
      <c r="B4710" s="4" t="s">
        <v>2540</v>
      </c>
      <c r="C4710" s="8" t="s">
        <v>5</v>
      </c>
      <c r="D4710" s="11" t="s">
        <v>69</v>
      </c>
    </row>
    <row r="4711" spans="1:4" ht="30">
      <c r="A4711" s="5" t="str">
        <f>HYPERLINK("https://www.oit.va.gov/Services/TRM/ToolPage.aspx?tid=16111^","Portable Document Format (PDF) Stamper Extension")</f>
        <v>Portable Document Format (PDF) Stamper Extension</v>
      </c>
      <c r="B4711" s="4" t="s">
        <v>2540</v>
      </c>
      <c r="C4711" s="8" t="s">
        <v>5</v>
      </c>
      <c r="D4711" s="11" t="s">
        <v>1123</v>
      </c>
    </row>
    <row r="4712" spans="1:4" ht="30">
      <c r="A4712" s="5" t="str">
        <f>HYPERLINK("https://www.oit.va.gov/Services/TRM/ToolPage.aspx?tid=16115^","Porto")</f>
        <v>Porto</v>
      </c>
      <c r="B4712" s="4" t="s">
        <v>2540</v>
      </c>
      <c r="C4712" s="8" t="s">
        <v>5</v>
      </c>
      <c r="D4712" s="11" t="s">
        <v>4620</v>
      </c>
    </row>
    <row r="4713" spans="1:4" ht="30">
      <c r="A4713" s="5" t="str">
        <f>HYPERLINK("https://www.oit.va.gov/Services/TRM/ToolPage.aspx?tid=16154^","Power BI (Business Intelligence) Embedded")</f>
        <v>Power BI (Business Intelligence) Embedded</v>
      </c>
      <c r="B4713" s="4" t="s">
        <v>2540</v>
      </c>
      <c r="C4713" s="8" t="s">
        <v>5</v>
      </c>
      <c r="D4713" s="11" t="s">
        <v>2874</v>
      </c>
    </row>
    <row r="4714" spans="1:4" ht="30">
      <c r="A4714" s="5" t="str">
        <f>HYPERLINK("https://www.oit.va.gov/Services/TRM/ToolPage.aspx?tid=16108^","Campaign Extension")</f>
        <v>Campaign Extension</v>
      </c>
      <c r="B4714" s="4" t="s">
        <v>2540</v>
      </c>
      <c r="C4714" s="8" t="s">
        <v>5</v>
      </c>
      <c r="D4714" s="11" t="s">
        <v>1415</v>
      </c>
    </row>
    <row r="4715" spans="1:4" ht="30">
      <c r="A4715" s="5" t="str">
        <f>HYPERLINK("https://www.oit.va.gov/Services/TRM/ToolPage.aspx?tid=16110^","Constant Contact Extension")</f>
        <v>Constant Contact Extension</v>
      </c>
      <c r="B4715" s="4" t="s">
        <v>2540</v>
      </c>
      <c r="C4715" s="8" t="s">
        <v>5</v>
      </c>
      <c r="D4715" s="11" t="s">
        <v>3963</v>
      </c>
    </row>
    <row r="4716" spans="1:4" ht="30">
      <c r="A4716" s="5" t="str">
        <f>HYPERLINK("https://www.oit.va.gov/Services/TRM/ToolPage.aspx?tid=16076^","Live Dashboard")</f>
        <v>Live Dashboard</v>
      </c>
      <c r="B4716" s="4" t="s">
        <v>2540</v>
      </c>
      <c r="C4716" s="8" t="s">
        <v>5</v>
      </c>
      <c r="D4716" s="11" t="s">
        <v>5909</v>
      </c>
    </row>
    <row r="4717" spans="1:4" ht="30">
      <c r="A4717" s="5" t="str">
        <f>HYPERLINK("https://www.oit.va.gov/Services/TRM/ToolPage.aspx?tid=16069^","Live Forms")</f>
        <v>Live Forms</v>
      </c>
      <c r="B4717" s="4" t="s">
        <v>2540</v>
      </c>
      <c r="C4717" s="8" t="s">
        <v>5</v>
      </c>
      <c r="D4717" s="11" t="s">
        <v>5910</v>
      </c>
    </row>
    <row r="4718" spans="1:4" ht="30">
      <c r="A4718" s="5" t="str">
        <f>HYPERLINK("https://www.oit.va.gov/Services/TRM/ToolPage.aspx?tid=16075^","Live Helpdesk")</f>
        <v>Live Helpdesk</v>
      </c>
      <c r="B4718" s="4" t="s">
        <v>2540</v>
      </c>
      <c r="C4718" s="8" t="s">
        <v>5</v>
      </c>
      <c r="D4718" s="11" t="s">
        <v>5911</v>
      </c>
    </row>
    <row r="4719" spans="1:4" ht="30">
      <c r="A4719" s="5" t="str">
        <f>HYPERLINK("https://www.oit.va.gov/Services/TRM/ToolPage.aspx?tid=16068^","Live HyperText Markup Language (HTML)")</f>
        <v>Live HyperText Markup Language (HTML)</v>
      </c>
      <c r="B4719" s="4" t="s">
        <v>2540</v>
      </c>
      <c r="C4719" s="8" t="s">
        <v>5</v>
      </c>
      <c r="D4719" s="11" t="s">
        <v>5912</v>
      </c>
    </row>
    <row r="4720" spans="1:4" ht="30">
      <c r="A4720" s="5" t="str">
        <f>HYPERLINK("https://www.oit.va.gov/Services/TRM/ToolPage.aspx?tid=16067^","Live Knowledgebase")</f>
        <v>Live Knowledgebase</v>
      </c>
      <c r="B4720" s="4" t="s">
        <v>2540</v>
      </c>
      <c r="C4720" s="8" t="s">
        <v>5</v>
      </c>
      <c r="D4720" s="11" t="s">
        <v>5913</v>
      </c>
    </row>
    <row r="4721" spans="1:4" ht="30">
      <c r="A4721" s="5" t="str">
        <f>HYPERLINK("https://www.oit.va.gov/Services/TRM/ToolPage.aspx?tid=16090^","Live Signature")</f>
        <v>Live Signature</v>
      </c>
      <c r="B4721" s="4" t="s">
        <v>2540</v>
      </c>
      <c r="C4721" s="8" t="s">
        <v>5</v>
      </c>
      <c r="D4721" s="11" t="s">
        <v>5914</v>
      </c>
    </row>
    <row r="4722" spans="1:4" ht="30">
      <c r="A4722" s="5" t="str">
        <f>HYPERLINK("https://www.oit.va.gov/Services/TRM/ToolPage.aspx?tid=16098^","Live Tabs")</f>
        <v>Live Tabs</v>
      </c>
      <c r="B4722" s="4" t="s">
        <v>2540</v>
      </c>
      <c r="C4722" s="8" t="s">
        <v>5</v>
      </c>
      <c r="D4722" s="11" t="s">
        <v>4369</v>
      </c>
    </row>
    <row r="4723" spans="1:4" ht="30">
      <c r="A4723" s="5" t="str">
        <f>HYPERLINK("https://www.oit.va.gov/Services/TRM/ToolPage.aspx?tid=16066^","Live Visualizer")</f>
        <v>Live Visualizer</v>
      </c>
      <c r="B4723" s="4" t="s">
        <v>2540</v>
      </c>
      <c r="C4723" s="8" t="s">
        <v>5</v>
      </c>
      <c r="D4723" s="11" t="s">
        <v>5915</v>
      </c>
    </row>
    <row r="4724" spans="1:4" ht="30">
      <c r="A4724" s="5" t="str">
        <f>HYPERLINK("https://www.oit.va.gov/Services/TRM/ToolPage.aspx?tid=14030^","Mangold Interact")</f>
        <v>Mangold Interact</v>
      </c>
      <c r="B4724" s="4" t="s">
        <v>8215</v>
      </c>
      <c r="C4724" s="8" t="s">
        <v>5</v>
      </c>
      <c r="D4724" s="11" t="s">
        <v>4298</v>
      </c>
    </row>
    <row r="4725" spans="1:4" ht="30">
      <c r="A4725" s="5" t="str">
        <f>HYPERLINK("https://www.oit.va.gov/Services/TRM/ToolPage.aspx?tid=15874^","Sunburst")</f>
        <v>Sunburst</v>
      </c>
      <c r="B4725" s="4" t="s">
        <v>7193</v>
      </c>
      <c r="C4725" s="8" t="s">
        <v>5</v>
      </c>
      <c r="D4725" s="11" t="s">
        <v>4701</v>
      </c>
    </row>
    <row r="4726" spans="1:4" ht="30">
      <c r="A4726" s="5" t="str">
        <f>HYPERLINK("https://www.oit.va.gov/Services/TRM/ToolPage.aspx?tid=11751^","FastMember.Signed")</f>
        <v>FastMember.Signed</v>
      </c>
      <c r="B4726" s="4" t="s">
        <v>684</v>
      </c>
      <c r="C4726" s="8" t="s">
        <v>5</v>
      </c>
      <c r="D4726" s="11" t="s">
        <v>489</v>
      </c>
    </row>
    <row r="4727" spans="1:4" ht="30">
      <c r="A4727" s="5" t="str">
        <f>HYPERLINK("https://www.oit.va.gov/Services/TRM/ToolPage.aspx?tid=13864^","MarcEdit")</f>
        <v>MarcEdit</v>
      </c>
      <c r="B4727" s="4" t="s">
        <v>6822</v>
      </c>
      <c r="C4727" s="8" t="s">
        <v>5</v>
      </c>
      <c r="D4727" s="11" t="s">
        <v>5335</v>
      </c>
    </row>
    <row r="4728" spans="1:4" ht="30">
      <c r="A4728" s="5" t="str">
        <f>HYPERLINK("https://www.oit.va.gov/Services/TRM/ToolPage.aspx?tid=11138^","Portable Universal Plug and Play (UPnP) Software Development Kit (SDK)")</f>
        <v>Portable Universal Plug and Play (UPnP) Software Development Kit (SDK)</v>
      </c>
      <c r="B4728" s="4" t="s">
        <v>7014</v>
      </c>
      <c r="C4728" s="8" t="s">
        <v>5</v>
      </c>
      <c r="D4728" s="11" t="s">
        <v>3512</v>
      </c>
    </row>
    <row r="4729" spans="1:4" ht="30">
      <c r="A4729" s="5" t="str">
        <f>HYPERLINK("https://www.oit.va.gov/Services/TRM/ToolPage.aspx?tid=15086^","Concurrent Versions System (CVS) NT")</f>
        <v>Concurrent Versions System (CVS) NT</v>
      </c>
      <c r="B4729" s="4" t="s">
        <v>3226</v>
      </c>
      <c r="C4729" s="8" t="s">
        <v>5</v>
      </c>
      <c r="D4729" s="11" t="s">
        <v>3227</v>
      </c>
    </row>
    <row r="4730" spans="1:4" ht="30">
      <c r="A4730" s="5" t="str">
        <f>HYPERLINK("https://www.oit.va.gov/Services/TRM/ToolPage.aspx?tid=14822^","Fusion Pro Publishing")</f>
        <v>Fusion Pro Publishing</v>
      </c>
      <c r="B4730" s="4" t="s">
        <v>6639</v>
      </c>
      <c r="C4730" s="8" t="s">
        <v>5</v>
      </c>
      <c r="D4730" s="11" t="s">
        <v>3986</v>
      </c>
    </row>
    <row r="4731" spans="1:4" ht="30">
      <c r="A4731" s="5" t="str">
        <f>HYPERLINK("https://www.oit.va.gov/Services/TRM/ToolPage.aspx?tid=7866^","FileHelpers")</f>
        <v>FileHelpers</v>
      </c>
      <c r="B4731" s="4" t="s">
        <v>6611</v>
      </c>
      <c r="C4731" s="8" t="s">
        <v>5</v>
      </c>
      <c r="D4731" s="11" t="s">
        <v>412</v>
      </c>
    </row>
    <row r="4732" spans="1:4" ht="30">
      <c r="A4732" s="5" t="str">
        <f>HYPERLINK("https://www.oit.va.gov/Services/TRM/ToolPage.aspx?tid=11710^","FreeCommander")</f>
        <v>FreeCommander</v>
      </c>
      <c r="B4732" s="4" t="s">
        <v>3306</v>
      </c>
      <c r="C4732" s="8" t="s">
        <v>5</v>
      </c>
      <c r="D4732" s="11" t="s">
        <v>2004</v>
      </c>
    </row>
    <row r="4733" spans="1:4" ht="30">
      <c r="A4733" s="5" t="str">
        <f>HYPERLINK("https://www.oit.va.gov/Services/TRM/ToolPage.aspx?tid=9676^","Visual C++ X-server (VcXsrv)")</f>
        <v>Visual C++ X-server (VcXsrv)</v>
      </c>
      <c r="B4733" s="4" t="s">
        <v>7299</v>
      </c>
      <c r="C4733" s="8" t="s">
        <v>5</v>
      </c>
      <c r="D4733" s="11" t="s">
        <v>7300</v>
      </c>
    </row>
    <row r="4734" spans="1:4" ht="30">
      <c r="A4734" s="5" t="str">
        <f>HYPERLINK("https://www.oit.va.gov/Services/TRM/ToolPage.aspx?tid=13097^","Maria Database (MariaDB) Server")</f>
        <v>Maria Database (MariaDB) Server</v>
      </c>
      <c r="B4734" s="4" t="s">
        <v>5322</v>
      </c>
      <c r="C4734" s="8" t="s">
        <v>5</v>
      </c>
      <c r="D4734" s="11" t="s">
        <v>5323</v>
      </c>
    </row>
    <row r="4735" spans="1:4" ht="30">
      <c r="A4735" s="5" t="str">
        <f>HYPERLINK("https://www.oit.va.gov/Services/TRM/ToolPage.aspx?tid=10736^","Subgroup Identification Based on Differential Effect Search (SIDES)")</f>
        <v>Subgroup Identification Based on Differential Effect Search (SIDES)</v>
      </c>
      <c r="B4735" s="4" t="s">
        <v>8752</v>
      </c>
      <c r="C4735" s="8" t="s">
        <v>5</v>
      </c>
      <c r="D4735" s="11" t="s">
        <v>256</v>
      </c>
    </row>
    <row r="4736" spans="1:4" ht="30">
      <c r="A4736" s="5" t="str">
        <f>HYPERLINK("https://www.oit.va.gov/Services/TRM/ToolPage.aspx?tid=8438^","Telnet-Client")</f>
        <v>Telnet-Client</v>
      </c>
      <c r="B4736" s="4" t="s">
        <v>8786</v>
      </c>
      <c r="C4736" s="8" t="s">
        <v>5</v>
      </c>
      <c r="D4736" s="11" t="s">
        <v>5772</v>
      </c>
    </row>
    <row r="4737" spans="1:4" ht="30">
      <c r="A4737" s="5" t="str">
        <f>HYPERLINK("https://www.oit.va.gov/Services/TRM/ToolPage.aspx?tid=6971^","Survey Builder")</f>
        <v>Survey Builder</v>
      </c>
      <c r="B4737" s="4" t="s">
        <v>8760</v>
      </c>
      <c r="C4737" s="8" t="s">
        <v>5</v>
      </c>
      <c r="D4737" s="11" t="s">
        <v>7608</v>
      </c>
    </row>
    <row r="4738" spans="1:4" ht="30">
      <c r="A4738" s="5" t="str">
        <f>HYPERLINK("https://www.oit.va.gov/Services/TRM/ToolPage.aspx?tid=10971^","Cognitive Behavioral Therapy for Insomnia (CBTI-I) Coach App-Enabled Dashboard")</f>
        <v>Cognitive Behavioral Therapy for Insomnia (CBTI-I) Coach App-Enabled Dashboard</v>
      </c>
      <c r="B4738" s="4" t="s">
        <v>5721</v>
      </c>
      <c r="C4738" s="8" t="s">
        <v>5</v>
      </c>
      <c r="D4738" s="11" t="s">
        <v>5722</v>
      </c>
    </row>
    <row r="4739" spans="1:4" ht="30">
      <c r="A4739" s="5" t="str">
        <f>HYPERLINK("https://www.oit.va.gov/Services/TRM/ToolPage.aspx?tid=11636^","USBDeviceForensics")</f>
        <v>USBDeviceForensics</v>
      </c>
      <c r="B4739" s="4" t="s">
        <v>8855</v>
      </c>
      <c r="C4739" s="8" t="s">
        <v>5</v>
      </c>
      <c r="D4739" s="11" t="s">
        <v>8558</v>
      </c>
    </row>
    <row r="4740" spans="1:4" ht="30">
      <c r="A4740" s="5" t="str">
        <f>HYPERLINK("https://www.oit.va.gov/Services/TRM/ToolPage.aspx?tid=8275^","MESUR Lite")</f>
        <v>MESUR Lite</v>
      </c>
      <c r="B4740" s="4" t="s">
        <v>5336</v>
      </c>
      <c r="C4740" s="8" t="s">
        <v>5</v>
      </c>
      <c r="D4740" s="11" t="s">
        <v>5337</v>
      </c>
    </row>
    <row r="4741" spans="1:4" ht="30">
      <c r="A4741" s="5" t="str">
        <f>HYPERLINK("https://www.oit.va.gov/Services/TRM/ToolPage.aspx?tid=7340^","MarkLogic Server")</f>
        <v>MarkLogic Server</v>
      </c>
      <c r="B4741" s="4" t="s">
        <v>6824</v>
      </c>
      <c r="C4741" s="8" t="s">
        <v>5</v>
      </c>
      <c r="D4741" s="11" t="s">
        <v>6825</v>
      </c>
    </row>
    <row r="4742" spans="1:4" ht="30">
      <c r="A4742" s="5" t="str">
        <f>HYPERLINK("https://www.oit.va.gov/Services/TRM/ToolPage.aspx?tid=8836^","Console")</f>
        <v>Console</v>
      </c>
      <c r="B4742" s="4" t="s">
        <v>7695</v>
      </c>
      <c r="C4742" s="8" t="s">
        <v>5</v>
      </c>
      <c r="D4742" s="11" t="s">
        <v>2238</v>
      </c>
    </row>
    <row r="4743" spans="1:4" ht="30">
      <c r="A4743" s="5" t="str">
        <f>HYPERLINK("https://www.oit.va.gov/Services/TRM/ToolPage.aspx?tid=15311^","Proverb teleprompter")</f>
        <v>Proverb teleprompter</v>
      </c>
      <c r="B4743" s="4" t="s">
        <v>8491</v>
      </c>
      <c r="C4743" s="8" t="s">
        <v>5</v>
      </c>
      <c r="D4743" s="11" t="s">
        <v>1084</v>
      </c>
    </row>
    <row r="4744" spans="1:4" ht="30">
      <c r="A4744" s="5" t="str">
        <f>HYPERLINK("https://www.oit.va.gov/Services/TRM/ToolPage.aspx?tid=8755^","Project Parking")</f>
        <v>Project Parking</v>
      </c>
      <c r="B4744" s="4" t="s">
        <v>6010</v>
      </c>
      <c r="C4744" s="8" t="s">
        <v>5</v>
      </c>
      <c r="D4744" s="11" t="s">
        <v>3117</v>
      </c>
    </row>
    <row r="4745" spans="1:4" ht="30">
      <c r="A4745" s="5" t="str">
        <f>HYPERLINK("https://www.oit.va.gov/Services/TRM/ToolPage.aspx?tid=11024^","JavaScript Extensible Markup Language Object Notation (JXON) Framework")</f>
        <v>JavaScript Extensible Markup Language Object Notation (JXON) Framework</v>
      </c>
      <c r="B4745" s="4" t="s">
        <v>5281</v>
      </c>
      <c r="C4745" s="8" t="s">
        <v>5</v>
      </c>
      <c r="D4745" s="11" t="s">
        <v>3361</v>
      </c>
    </row>
    <row r="4746" spans="1:4" ht="30">
      <c r="A4746" s="5" t="str">
        <f>HYPERLINK("https://www.oit.va.gov/Services/TRM/ToolPage.aspx?tid=8909^","Just Another Gibbs Sampler (JAGS)")</f>
        <v>Just Another Gibbs Sampler (JAGS)</v>
      </c>
      <c r="B4746" s="4" t="s">
        <v>5290</v>
      </c>
      <c r="C4746" s="8" t="s">
        <v>5</v>
      </c>
      <c r="D4746" s="11" t="s">
        <v>4363</v>
      </c>
    </row>
    <row r="4747" spans="1:4" ht="30">
      <c r="A4747" s="5" t="str">
        <f>HYPERLINK("https://www.oit.va.gov/Services/TRM/ToolPage.aspx?tid=6534^","SANSurfer Fibre Channel (FC) Host Bus Adapter (HBA) Manager")</f>
        <v>SANSurfer Fibre Channel (FC) Host Bus Adapter (HBA) Manager</v>
      </c>
      <c r="B4747" s="4" t="s">
        <v>8592</v>
      </c>
      <c r="C4747" s="8" t="s">
        <v>5</v>
      </c>
      <c r="D4747" s="11" t="s">
        <v>5023</v>
      </c>
    </row>
    <row r="4748" spans="1:4" ht="30">
      <c r="A4748" s="5" t="str">
        <f>HYPERLINK("https://www.oit.va.gov/Services/TRM/ToolPage.aspx?tid=13212^","SOAPXmitter")</f>
        <v>SOAPXmitter</v>
      </c>
      <c r="B4748" s="4" t="s">
        <v>8684</v>
      </c>
      <c r="C4748" s="8" t="s">
        <v>5</v>
      </c>
      <c r="D4748" s="11" t="s">
        <v>3479</v>
      </c>
    </row>
    <row r="4749" spans="1:4" ht="30">
      <c r="A4749" s="5" t="str">
        <f>HYPERLINK("https://www.oit.va.gov/Services/TRM/ToolPage.aspx?tid=10548^","MIT LL Audio")</f>
        <v>MIT LL Audio</v>
      </c>
      <c r="B4749" s="4" t="s">
        <v>8273</v>
      </c>
      <c r="C4749" s="8" t="s">
        <v>5</v>
      </c>
      <c r="D4749" s="11" t="s">
        <v>8274</v>
      </c>
    </row>
    <row r="4750" spans="1:4" ht="30">
      <c r="A4750" s="5" t="str">
        <f>HYPERLINK("https://www.oit.va.gov/Services/TRM/ToolPage.aspx?tid=7610^","MasterControl Microsoft Word Integration")</f>
        <v>MasterControl Microsoft Word Integration</v>
      </c>
      <c r="B4750" s="4" t="s">
        <v>8222</v>
      </c>
      <c r="C4750" s="8" t="s">
        <v>5</v>
      </c>
      <c r="D4750" s="11" t="s">
        <v>8223</v>
      </c>
    </row>
    <row r="4751" spans="1:4" ht="30">
      <c r="A4751" s="5" t="str">
        <f>HYPERLINK("https://www.oit.va.gov/Services/TRM/ToolPage.aspx?tid=7477^","MindView")</f>
        <v>MindView</v>
      </c>
      <c r="B4751" s="4" t="s">
        <v>1047</v>
      </c>
      <c r="C4751" s="8" t="s">
        <v>5</v>
      </c>
      <c r="D4751" s="11" t="s">
        <v>1048</v>
      </c>
    </row>
    <row r="4752" spans="1:4" ht="30">
      <c r="A4752" s="5" t="str">
        <f>HYPERLINK("https://www.oit.va.gov/Services/TRM/ToolPage.aspx?tid=15676^","Materialise Phits Suite")</f>
        <v>Materialise Phits Suite</v>
      </c>
      <c r="B4752" s="4" t="s">
        <v>1713</v>
      </c>
      <c r="C4752" s="8" t="s">
        <v>5</v>
      </c>
      <c r="D4752" s="11" t="s">
        <v>1714</v>
      </c>
    </row>
    <row r="4753" spans="1:4" ht="30">
      <c r="A4753" s="5" t="str">
        <f>HYPERLINK("https://www.oit.va.gov/Services/TRM/ToolPage.aspx?tid=9696^","Materialise Interactive Medical Image Control System (MIMICS) Suite")</f>
        <v>Materialise Interactive Medical Image Control System (MIMICS) Suite</v>
      </c>
      <c r="B4753" s="4" t="s">
        <v>1713</v>
      </c>
      <c r="C4753" s="8" t="s">
        <v>5</v>
      </c>
      <c r="D4753" s="11" t="s">
        <v>2051</v>
      </c>
    </row>
    <row r="4754" spans="1:4" ht="30">
      <c r="A4754" s="5" t="str">
        <f>HYPERLINK("https://www.oit.va.gov/Services/TRM/ToolPage.aspx?tid=15350^","Materialise Magics")</f>
        <v>Materialise Magics</v>
      </c>
      <c r="B4754" s="4" t="s">
        <v>1713</v>
      </c>
      <c r="C4754" s="8" t="s">
        <v>5</v>
      </c>
      <c r="D4754" s="11" t="s">
        <v>2083</v>
      </c>
    </row>
    <row r="4755" spans="1:4" ht="30">
      <c r="A4755" s="5" t="str">
        <f>HYPERLINK("https://www.oit.va.gov/Services/TRM/ToolPage.aspx?tid=15371^","Materialise Mimics Inprint")</f>
        <v>Materialise Mimics Inprint</v>
      </c>
      <c r="B4755" s="4" t="s">
        <v>1713</v>
      </c>
      <c r="C4755" s="8" t="s">
        <v>5</v>
      </c>
      <c r="D4755" s="11" t="s">
        <v>2686</v>
      </c>
    </row>
    <row r="4756" spans="1:4" ht="30">
      <c r="A4756" s="5" t="str">
        <f>HYPERLINK("https://www.oit.va.gov/Services/TRM/ToolPage.aspx?tid=6872^","OrthoView")</f>
        <v>OrthoView</v>
      </c>
      <c r="B4756" s="4" t="s">
        <v>1713</v>
      </c>
      <c r="C4756" s="8" t="s">
        <v>5</v>
      </c>
      <c r="D4756" s="11" t="s">
        <v>3412</v>
      </c>
    </row>
    <row r="4757" spans="1:4" ht="30">
      <c r="A4757" s="5" t="str">
        <f>HYPERLINK("https://www.oit.va.gov/Services/TRM/ToolPage.aspx?tid=15379^","ProPlan Cranio-Maxillo-Facial (CMF)")</f>
        <v>ProPlan Cranio-Maxillo-Facial (CMF)</v>
      </c>
      <c r="B4757" s="4" t="s">
        <v>1713</v>
      </c>
      <c r="C4757" s="8" t="s">
        <v>5</v>
      </c>
      <c r="D4757" s="11" t="s">
        <v>6012</v>
      </c>
    </row>
    <row r="4758" spans="1:4" ht="30">
      <c r="A4758" s="5" t="str">
        <f>HYPERLINK("https://www.oit.va.gov/Services/TRM/ToolPage.aspx?tid=6041^","MATLAB")</f>
        <v>MATLAB</v>
      </c>
      <c r="B4758" s="4" t="s">
        <v>2750</v>
      </c>
      <c r="C4758" s="8" t="s">
        <v>5</v>
      </c>
      <c r="D4758" s="11" t="s">
        <v>2751</v>
      </c>
    </row>
    <row r="4759" spans="1:4" ht="30">
      <c r="A4759" s="5" t="str">
        <f>HYPERLINK("https://www.oit.va.gov/Services/TRM/ToolPage.aspx?tid=8111^","MATLAB Compiler Runtime (MCR)")</f>
        <v>MATLAB Compiler Runtime (MCR)</v>
      </c>
      <c r="B4759" s="4" t="s">
        <v>2750</v>
      </c>
      <c r="C4759" s="8" t="s">
        <v>5</v>
      </c>
      <c r="D4759" s="11" t="s">
        <v>2752</v>
      </c>
    </row>
    <row r="4760" spans="1:4" ht="30">
      <c r="A4760" s="5" t="str">
        <f>HYPERLINK("https://www.oit.va.gov/Services/TRM/ToolPage.aspx?tid=11496^","Statistics and Machine Learning Toolbox")</f>
        <v>Statistics and Machine Learning Toolbox</v>
      </c>
      <c r="B4760" s="4" t="s">
        <v>2750</v>
      </c>
      <c r="C4760" s="8" t="s">
        <v>5</v>
      </c>
      <c r="D4760" s="11" t="s">
        <v>2994</v>
      </c>
    </row>
    <row r="4761" spans="1:4" ht="30">
      <c r="A4761" s="5" t="str">
        <f>HYPERLINK("https://www.oit.va.gov/Services/TRM/ToolPage.aspx?tid=16374^","Deep Learning Toolbox")</f>
        <v>Deep Learning Toolbox</v>
      </c>
      <c r="B4761" s="4" t="s">
        <v>2750</v>
      </c>
      <c r="C4761" s="8" t="s">
        <v>5</v>
      </c>
      <c r="D4761" s="11" t="s">
        <v>4010</v>
      </c>
    </row>
    <row r="4762" spans="1:4" ht="30">
      <c r="A4762" s="5" t="str">
        <f>HYPERLINK("https://www.oit.va.gov/Services/TRM/ToolPage.aspx?tid=16358^","Image Processing Toolbox")</f>
        <v>Image Processing Toolbox</v>
      </c>
      <c r="B4762" s="4" t="s">
        <v>2750</v>
      </c>
      <c r="C4762" s="8" t="s">
        <v>5</v>
      </c>
      <c r="D4762" s="11" t="s">
        <v>4250</v>
      </c>
    </row>
    <row r="4763" spans="1:4" ht="30">
      <c r="A4763" s="5" t="str">
        <f>HYPERLINK("https://www.oit.va.gov/Services/TRM/ToolPage.aspx?tid=16349^","Parallel Computing Toolbox")</f>
        <v>Parallel Computing Toolbox</v>
      </c>
      <c r="B4763" s="4" t="s">
        <v>2750</v>
      </c>
      <c r="C4763" s="8" t="s">
        <v>5</v>
      </c>
      <c r="D4763" s="11" t="s">
        <v>1860</v>
      </c>
    </row>
    <row r="4764" spans="1:4" ht="30">
      <c r="A4764" s="5" t="str">
        <f>HYPERLINK("https://www.oit.va.gov/Services/TRM/ToolPage.aspx?tid=14899^","Colorspace Transformations")</f>
        <v>Colorspace Transformations</v>
      </c>
      <c r="B4764" s="4" t="s">
        <v>2750</v>
      </c>
      <c r="C4764" s="8" t="s">
        <v>5</v>
      </c>
      <c r="D4764" s="11" t="s">
        <v>5732</v>
      </c>
    </row>
    <row r="4765" spans="1:4" ht="45">
      <c r="A4765" s="5" t="str">
        <f>HYPERLINK("https://www.oit.va.gov/Services/TRM/ToolPage.aspx?tid=9196^","MATRICS (Measurement and Treatment Research to Improve Cognition in Schizophrenia) Consensus Cognitive Battery (MCCB) Scoring Program")</f>
        <v>MATRICS (Measurement and Treatment Research to Improve Cognition in Schizophrenia) Consensus Cognitive Battery (MCCB) Scoring Program</v>
      </c>
      <c r="B4765" s="4" t="s">
        <v>6830</v>
      </c>
      <c r="C4765" s="8" t="s">
        <v>5</v>
      </c>
      <c r="D4765" s="11" t="s">
        <v>5133</v>
      </c>
    </row>
    <row r="4766" spans="1:4" ht="30">
      <c r="A4766" s="5" t="str">
        <f>HYPERLINK("https://www.oit.va.gov/Services/TRM/ToolPage.aspx?tid=15022^","Matrox PowerDesk")</f>
        <v>Matrox PowerDesk</v>
      </c>
      <c r="B4766" s="4" t="s">
        <v>6831</v>
      </c>
      <c r="C4766" s="8" t="s">
        <v>5</v>
      </c>
      <c r="D4766" s="11" t="s">
        <v>2752</v>
      </c>
    </row>
    <row r="4767" spans="1:4" ht="30">
      <c r="A4767" s="5" t="str">
        <f>HYPERLINK("https://www.oit.va.gov/Services/TRM/ToolPage.aspx?tid=215^","GroboUtils")</f>
        <v>GroboUtils</v>
      </c>
      <c r="B4767" s="4" t="s">
        <v>8002</v>
      </c>
      <c r="C4767" s="8" t="s">
        <v>5</v>
      </c>
      <c r="D4767" s="11" t="s">
        <v>7506</v>
      </c>
    </row>
    <row r="4768" spans="1:4" ht="30">
      <c r="A4768" s="5" t="str">
        <f>HYPERLINK("https://www.oit.va.gov/Services/TRM/ToolPage.aspx?tid=11174^","Mocha Logger")</f>
        <v>Mocha Logger</v>
      </c>
      <c r="B4768" s="4" t="s">
        <v>5356</v>
      </c>
      <c r="C4768" s="8" t="s">
        <v>5</v>
      </c>
      <c r="D4768" s="11" t="s">
        <v>137</v>
      </c>
    </row>
    <row r="4769" spans="1:4" ht="30">
      <c r="A4769" s="5" t="str">
        <f>HYPERLINK("https://www.oit.va.gov/Services/TRM/ToolPage.aspx?tid=10896^","Dropbear Secure Shell (SSH) Server")</f>
        <v>Dropbear Secure Shell (SSH) Server</v>
      </c>
      <c r="B4769" s="4" t="s">
        <v>7807</v>
      </c>
      <c r="C4769" s="8" t="s">
        <v>5</v>
      </c>
      <c r="D4769" s="11" t="s">
        <v>7808</v>
      </c>
    </row>
    <row r="4770" spans="1:4" ht="30">
      <c r="A4770" s="5" t="str">
        <f>HYPERLINK("https://www.oit.va.gov/Services/TRM/ToolPage.aspx?tid=9190^","Word Content Control Toolkit")</f>
        <v>Word Content Control Toolkit</v>
      </c>
      <c r="B4770" s="4" t="s">
        <v>8953</v>
      </c>
      <c r="C4770" s="8" t="s">
        <v>5</v>
      </c>
      <c r="D4770" s="11" t="s">
        <v>1247</v>
      </c>
    </row>
    <row r="4771" spans="1:4" ht="30">
      <c r="A4771" s="5" t="str">
        <f>HYPERLINK("https://www.oit.va.gov/Services/TRM/ToolPage.aspx?tid=10913^","Embedded JavaScript Templating (EJS)")</f>
        <v>Embedded JavaScript Templating (EJS)</v>
      </c>
      <c r="B4771" s="4" t="s">
        <v>5786</v>
      </c>
      <c r="C4771" s="8" t="s">
        <v>5</v>
      </c>
      <c r="D4771" s="11" t="s">
        <v>5287</v>
      </c>
    </row>
    <row r="4772" spans="1:4" ht="30">
      <c r="A4772" s="5" t="str">
        <f>HYPERLINK("https://www.oit.va.gov/Services/TRM/ToolPage.aspx?tid=295^","ValueList")</f>
        <v>ValueList</v>
      </c>
      <c r="B4772" s="4" t="s">
        <v>8859</v>
      </c>
      <c r="C4772" s="8" t="s">
        <v>5</v>
      </c>
      <c r="D4772" s="11" t="s">
        <v>8860</v>
      </c>
    </row>
    <row r="4773" spans="1:4" ht="30">
      <c r="A4773" s="5" t="str">
        <f>HYPERLINK("https://www.oit.va.gov/Services/TRM/ToolPage.aspx?tid=7780^","Small Web Format (SWF) Tools")</f>
        <v>Small Web Format (SWF) Tools</v>
      </c>
      <c r="B4773" s="4" t="s">
        <v>5513</v>
      </c>
      <c r="C4773" s="8" t="s">
        <v>5</v>
      </c>
      <c r="D4773" s="11" t="s">
        <v>5054</v>
      </c>
    </row>
    <row r="4774" spans="1:4" ht="30">
      <c r="A4774" s="5" t="str">
        <f>HYPERLINK("https://www.oit.va.gov/Services/TRM/ToolPage.aspx?tid=7588^","Matomo")</f>
        <v>Matomo</v>
      </c>
      <c r="B4774" s="4" t="s">
        <v>6829</v>
      </c>
      <c r="C4774" s="8" t="s">
        <v>5</v>
      </c>
      <c r="D4774" s="11" t="s">
        <v>124</v>
      </c>
    </row>
    <row r="4775" spans="1:4" ht="30">
      <c r="A4775" s="5" t="str">
        <f>HYPERLINK("https://www.oit.va.gov/Services/TRM/ToolPage.aspx?tid=8713^","ProActivity Reports")</f>
        <v>ProActivity Reports</v>
      </c>
      <c r="B4775" s="4" t="s">
        <v>2297</v>
      </c>
      <c r="C4775" s="8" t="s">
        <v>5</v>
      </c>
      <c r="D4775" s="11" t="s">
        <v>2298</v>
      </c>
    </row>
    <row r="4776" spans="1:4" ht="30">
      <c r="A4776" s="5" t="str">
        <f>HYPERLINK("https://www.oit.va.gov/Services/TRM/ToolPage.aspx?tid=7999^","Cellvizio Viewer")</f>
        <v>Cellvizio Viewer</v>
      </c>
      <c r="B4776" s="4" t="s">
        <v>7627</v>
      </c>
      <c r="C4776" s="8" t="s">
        <v>5</v>
      </c>
      <c r="D4776" s="11" t="s">
        <v>4775</v>
      </c>
    </row>
    <row r="4777" spans="1:4" ht="30">
      <c r="A4777" s="5" t="str">
        <f>HYPERLINK("https://www.oit.va.gov/Services/TRM/ToolPage.aspx?tid=7887^","Electronic Research Administration (eRA)")</f>
        <v>Electronic Research Administration (eRA)</v>
      </c>
      <c r="B4777" s="4" t="s">
        <v>3273</v>
      </c>
      <c r="C4777" s="8" t="s">
        <v>5</v>
      </c>
      <c r="D4777" s="11" t="s">
        <v>1333</v>
      </c>
    </row>
    <row r="4778" spans="1:4" ht="30">
      <c r="A4778" s="5" t="str">
        <f>HYPERLINK("https://www.oit.va.gov/Services/TRM/ToolPage.aspx?tid=16506^","GeoIPUpdate")</f>
        <v>GeoIPUpdate</v>
      </c>
      <c r="B4778" s="4" t="s">
        <v>6646</v>
      </c>
      <c r="C4778" s="8" t="s">
        <v>5</v>
      </c>
      <c r="D4778" s="11" t="s">
        <v>6647</v>
      </c>
    </row>
    <row r="4779" spans="1:4" ht="30">
      <c r="A4779" s="5" t="str">
        <f>HYPERLINK("https://www.oit.va.gov/Services/TRM/ToolPage.aspx?tid=9979^","CINEMA Four-Dimension (4D)")</f>
        <v>CINEMA Four-Dimension (4D)</v>
      </c>
      <c r="B4779" s="4" t="s">
        <v>3910</v>
      </c>
      <c r="C4779" s="8" t="s">
        <v>5</v>
      </c>
      <c r="D4779" s="11" t="s">
        <v>3911</v>
      </c>
    </row>
    <row r="4780" spans="1:4" ht="30">
      <c r="A4780" s="5" t="str">
        <f>HYPERLINK("https://www.oit.va.gov/Services/TRM/ToolPage.aspx?tid=14427^","Trapcode Lux")</f>
        <v>Trapcode Lux</v>
      </c>
      <c r="B4780" s="4" t="s">
        <v>3910</v>
      </c>
      <c r="C4780" s="8" t="s">
        <v>5</v>
      </c>
      <c r="D4780" s="11" t="s">
        <v>4927</v>
      </c>
    </row>
    <row r="4781" spans="1:4" ht="30">
      <c r="A4781" s="5" t="str">
        <f>HYPERLINK("https://www.oit.va.gov/Services/TRM/ToolPage.aspx?tid=14373^","Trapcode Tao")</f>
        <v>Trapcode Tao</v>
      </c>
      <c r="B4781" s="4" t="s">
        <v>3910</v>
      </c>
      <c r="C4781" s="8" t="s">
        <v>5</v>
      </c>
      <c r="D4781" s="11" t="s">
        <v>4927</v>
      </c>
    </row>
    <row r="4782" spans="1:4" ht="30">
      <c r="A4782" s="5" t="str">
        <f>HYPERLINK("https://www.oit.va.gov/Services/TRM/ToolPage.aspx?tid=14366^","Trapcode EchoSpace")</f>
        <v>Trapcode EchoSpace</v>
      </c>
      <c r="B4782" s="4" t="s">
        <v>3910</v>
      </c>
      <c r="C4782" s="8" t="s">
        <v>5</v>
      </c>
      <c r="D4782" s="11" t="s">
        <v>7237</v>
      </c>
    </row>
    <row r="4783" spans="1:4" ht="30">
      <c r="A4783" s="5" t="str">
        <f>HYPERLINK("https://www.oit.va.gov/Services/TRM/ToolPage.aspx?tid=14367^","Trapcode Form")</f>
        <v>Trapcode Form</v>
      </c>
      <c r="B4783" s="4" t="s">
        <v>3910</v>
      </c>
      <c r="C4783" s="8" t="s">
        <v>5</v>
      </c>
      <c r="D4783" s="11" t="s">
        <v>7237</v>
      </c>
    </row>
    <row r="4784" spans="1:4" ht="30">
      <c r="A4784" s="5" t="str">
        <f>HYPERLINK("https://www.oit.va.gov/Services/TRM/ToolPage.aspx?tid=14368^","Trapcode Horizon")</f>
        <v>Trapcode Horizon</v>
      </c>
      <c r="B4784" s="4" t="s">
        <v>3910</v>
      </c>
      <c r="C4784" s="8" t="s">
        <v>5</v>
      </c>
      <c r="D4784" s="11" t="s">
        <v>7237</v>
      </c>
    </row>
    <row r="4785" spans="1:4" ht="30">
      <c r="A4785" s="5" t="str">
        <f>HYPERLINK("https://www.oit.va.gov/Services/TRM/ToolPage.aspx?tid=14369^","Trapcode Mir")</f>
        <v>Trapcode Mir</v>
      </c>
      <c r="B4785" s="4" t="s">
        <v>3910</v>
      </c>
      <c r="C4785" s="8" t="s">
        <v>5</v>
      </c>
      <c r="D4785" s="11" t="s">
        <v>7237</v>
      </c>
    </row>
    <row r="4786" spans="1:4" ht="30">
      <c r="A4786" s="5" t="str">
        <f>HYPERLINK("https://www.oit.va.gov/Services/TRM/ToolPage.aspx?tid=14370^","Trapcode Particular")</f>
        <v>Trapcode Particular</v>
      </c>
      <c r="B4786" s="4" t="s">
        <v>3910</v>
      </c>
      <c r="C4786" s="8" t="s">
        <v>5</v>
      </c>
      <c r="D4786" s="11" t="s">
        <v>7237</v>
      </c>
    </row>
    <row r="4787" spans="1:4" ht="30">
      <c r="A4787" s="5" t="str">
        <f>HYPERLINK("https://www.oit.va.gov/Services/TRM/ToolPage.aspx?tid=14371^","Trapcode Shine")</f>
        <v>Trapcode Shine</v>
      </c>
      <c r="B4787" s="4" t="s">
        <v>3910</v>
      </c>
      <c r="C4787" s="8" t="s">
        <v>5</v>
      </c>
      <c r="D4787" s="11" t="s">
        <v>7237</v>
      </c>
    </row>
    <row r="4788" spans="1:4" ht="30">
      <c r="A4788" s="5" t="str">
        <f>HYPERLINK("https://www.oit.va.gov/Services/TRM/ToolPage.aspx?tid=14372^","Trapcode Sound Keys")</f>
        <v>Trapcode Sound Keys</v>
      </c>
      <c r="B4788" s="4" t="s">
        <v>3910</v>
      </c>
      <c r="C4788" s="8" t="s">
        <v>5</v>
      </c>
      <c r="D4788" s="11" t="s">
        <v>1890</v>
      </c>
    </row>
    <row r="4789" spans="1:4" ht="30">
      <c r="A4789" s="5" t="str">
        <f>HYPERLINK("https://www.oit.va.gov/Services/TRM/ToolPage.aspx?tid=14426^","Trapcode Starglow")</f>
        <v>Trapcode Starglow</v>
      </c>
      <c r="B4789" s="4" t="s">
        <v>3910</v>
      </c>
      <c r="C4789" s="8" t="s">
        <v>5</v>
      </c>
      <c r="D4789" s="11" t="s">
        <v>4927</v>
      </c>
    </row>
    <row r="4790" spans="1:4" ht="30">
      <c r="A4790" s="5" t="str">
        <f>HYPERLINK("https://www.oit.va.gov/Services/TRM/ToolPage.aspx?tid=14454^","Trapcode Three-Dimensional (3D) Stroke")</f>
        <v>Trapcode Three-Dimensional (3D) Stroke</v>
      </c>
      <c r="B4790" s="4" t="s">
        <v>3910</v>
      </c>
      <c r="C4790" s="8" t="s">
        <v>5</v>
      </c>
      <c r="D4790" s="11" t="s">
        <v>7242</v>
      </c>
    </row>
    <row r="4791" spans="1:4" ht="30">
      <c r="A4791" s="5" t="str">
        <f>HYPERLINK("https://www.oit.va.gov/Services/TRM/ToolPage.aspx?tid=15319^","MaxTemp")</f>
        <v>MaxTemp</v>
      </c>
      <c r="B4791" s="4" t="s">
        <v>5926</v>
      </c>
      <c r="C4791" s="8" t="s">
        <v>5</v>
      </c>
      <c r="D4791" s="11" t="s">
        <v>5927</v>
      </c>
    </row>
    <row r="4792" spans="1:4" ht="30">
      <c r="A4792" s="5" t="str">
        <f>HYPERLINK("https://www.oit.va.gov/Services/TRM/ToolPage.aspx?tid=10478^","Maxxess eFusion")</f>
        <v>Maxxess eFusion</v>
      </c>
      <c r="B4792" s="4" t="s">
        <v>6833</v>
      </c>
      <c r="C4792" s="8" t="s">
        <v>5</v>
      </c>
      <c r="D4792" s="11" t="s">
        <v>2265</v>
      </c>
    </row>
    <row r="4793" spans="1:4" ht="30">
      <c r="A4793" s="5" t="str">
        <f>HYPERLINK("https://www.oit.va.gov/Services/TRM/ToolPage.aspx?tid=10878^","Stereo Investigator")</f>
        <v>Stereo Investigator</v>
      </c>
      <c r="B4793" s="4" t="s">
        <v>4859</v>
      </c>
      <c r="C4793" s="8" t="s">
        <v>5</v>
      </c>
      <c r="D4793" s="11" t="s">
        <v>3044</v>
      </c>
    </row>
    <row r="4794" spans="1:4" ht="30">
      <c r="A4794" s="5" t="str">
        <f>HYPERLINK("https://www.oit.va.gov/Services/TRM/ToolPage.aspx?tid=10894^","Neurolucida Explorer")</f>
        <v>Neurolucida Explorer</v>
      </c>
      <c r="B4794" s="4" t="s">
        <v>4859</v>
      </c>
      <c r="C4794" s="8" t="s">
        <v>5</v>
      </c>
      <c r="D4794" s="11" t="s">
        <v>2783</v>
      </c>
    </row>
    <row r="4795" spans="1:4" ht="30">
      <c r="A4795" s="5" t="str">
        <f>HYPERLINK("https://www.oit.va.gov/Services/TRM/ToolPage.aspx?tid=5651^","McAfee VirusScan Enterprise")</f>
        <v>McAfee VirusScan Enterprise</v>
      </c>
      <c r="B4795" s="4" t="s">
        <v>2154</v>
      </c>
      <c r="C4795" s="8" t="s">
        <v>5</v>
      </c>
      <c r="D4795" s="11" t="s">
        <v>2155</v>
      </c>
    </row>
    <row r="4796" spans="1:4" ht="30">
      <c r="A4796" s="5" t="str">
        <f>HYPERLINK("https://www.oit.va.gov/Services/TRM/ToolPage.aspx?tid=8672^","McAfee Security for Microsoft SharePoint")</f>
        <v>McAfee Security for Microsoft SharePoint</v>
      </c>
      <c r="B4796" s="4" t="s">
        <v>2154</v>
      </c>
      <c r="C4796" s="8" t="s">
        <v>5</v>
      </c>
      <c r="D4796" s="11" t="s">
        <v>5326</v>
      </c>
    </row>
    <row r="4797" spans="1:4" ht="30">
      <c r="A4797" s="5" t="str">
        <f>HYPERLINK("https://www.oit.va.gov/Services/TRM/ToolPage.aspx?tid=7443^","McAfee ePO Deep Command")</f>
        <v>McAfee ePO Deep Command</v>
      </c>
      <c r="B4797" s="4" t="s">
        <v>2154</v>
      </c>
      <c r="C4797" s="8" t="s">
        <v>5</v>
      </c>
      <c r="D4797" s="11" t="s">
        <v>6834</v>
      </c>
    </row>
    <row r="4798" spans="1:4" ht="30">
      <c r="A4798" s="5" t="str">
        <f>HYPERLINK("https://www.oit.va.gov/Services/TRM/ToolPage.aspx?tid=8671^","McAfee Rogue System Detection (RSD)")</f>
        <v>McAfee Rogue System Detection (RSD)</v>
      </c>
      <c r="B4798" s="4" t="s">
        <v>2154</v>
      </c>
      <c r="C4798" s="8" t="s">
        <v>5</v>
      </c>
      <c r="D4798" s="11" t="s">
        <v>6835</v>
      </c>
    </row>
    <row r="4799" spans="1:4" ht="30">
      <c r="A4799" s="5" t="str">
        <f>HYPERLINK("https://www.oit.va.gov/Services/TRM/ToolPage.aspx?tid=7129^","McAfee Management for Optimized Virtual Environments (MOVE) Antivirus")</f>
        <v>McAfee Management for Optimized Virtual Environments (MOVE) Antivirus</v>
      </c>
      <c r="B4799" s="4" t="s">
        <v>2154</v>
      </c>
      <c r="C4799" s="8" t="s">
        <v>5</v>
      </c>
      <c r="D4799" s="11" t="s">
        <v>8226</v>
      </c>
    </row>
    <row r="4800" spans="1:4" ht="30">
      <c r="A4800" s="5" t="str">
        <f>HYPERLINK("https://www.oit.va.gov/Services/TRM/ToolPage.aspx?tid=6043^","McAfee Policy Auditor Agent")</f>
        <v>McAfee Policy Auditor Agent</v>
      </c>
      <c r="B4800" s="4" t="s">
        <v>2154</v>
      </c>
      <c r="C4800" s="8" t="s">
        <v>5</v>
      </c>
      <c r="D4800" s="11" t="s">
        <v>5370</v>
      </c>
    </row>
    <row r="4801" spans="1:4" ht="30">
      <c r="A4801" s="5" t="str">
        <f>HYPERLINK("https://www.oit.va.gov/Services/TRM/ToolPage.aspx?tid=5648^","McAfee Security Scan Plus")</f>
        <v>McAfee Security Scan Plus</v>
      </c>
      <c r="B4801" s="4" t="s">
        <v>2154</v>
      </c>
      <c r="C4801" s="8" t="s">
        <v>5</v>
      </c>
      <c r="D4801" s="11" t="s">
        <v>5218</v>
      </c>
    </row>
    <row r="4802" spans="1:4" ht="30">
      <c r="A4802" s="5" t="str">
        <f>HYPERLINK("https://www.oit.va.gov/Services/TRM/ToolPage.aspx?tid=5650^","McAfee Virtual Technician")</f>
        <v>McAfee Virtual Technician</v>
      </c>
      <c r="B4802" s="4" t="s">
        <v>2154</v>
      </c>
      <c r="C4802" s="8" t="s">
        <v>5</v>
      </c>
      <c r="D4802" s="11" t="s">
        <v>3184</v>
      </c>
    </row>
    <row r="4803" spans="1:4" ht="30">
      <c r="A4803" s="5" t="str">
        <f>HYPERLINK("https://www.oit.va.gov/Services/TRM/ToolPage.aspx?tid=10868^","Oyedata")</f>
        <v>Oyedata</v>
      </c>
      <c r="B4803" s="4" t="s">
        <v>6984</v>
      </c>
      <c r="C4803" s="8" t="s">
        <v>5</v>
      </c>
      <c r="D4803" s="11" t="s">
        <v>6985</v>
      </c>
    </row>
    <row r="4804" spans="1:4" ht="30">
      <c r="A4804" s="5" t="str">
        <f>HYPERLINK("https://www.oit.va.gov/Services/TRM/ToolPage.aspx?tid=15435^","Sanitas Pharmacy Control System (PCS)")</f>
        <v>Sanitas Pharmacy Control System (PCS)</v>
      </c>
      <c r="B4804" s="4" t="s">
        <v>837</v>
      </c>
      <c r="C4804" s="8" t="s">
        <v>5</v>
      </c>
      <c r="D4804" s="11" t="s">
        <v>838</v>
      </c>
    </row>
    <row r="4805" spans="1:4" ht="30">
      <c r="A4805" s="5" t="str">
        <f>HYPERLINK("https://www.oit.va.gov/Services/TRM/ToolPage.aspx?tid=6864^","CareEnhance Review Manager Enterprise (CERMe)")</f>
        <v>CareEnhance Review Manager Enterprise (CERMe)</v>
      </c>
      <c r="B4805" s="4" t="s">
        <v>837</v>
      </c>
      <c r="C4805" s="8" t="s">
        <v>5</v>
      </c>
      <c r="D4805" s="11" t="s">
        <v>3889</v>
      </c>
    </row>
    <row r="4806" spans="1:4" ht="30">
      <c r="A4806" s="5" t="str">
        <f>HYPERLINK("https://www.oit.va.gov/Services/TRM/ToolPage.aspx?tid=9442^","Mobile Manager 100")</f>
        <v>Mobile Manager 100</v>
      </c>
      <c r="B4806" s="4" t="s">
        <v>837</v>
      </c>
      <c r="C4806" s="8" t="s">
        <v>5</v>
      </c>
      <c r="D4806" s="11" t="s">
        <v>4443</v>
      </c>
    </row>
    <row r="4807" spans="1:4" ht="30">
      <c r="A4807" s="5" t="str">
        <f>HYPERLINK("https://www.oit.va.gov/Services/TRM/ToolPage.aspx?tid=9638^","Controlled Substance Ordering System (CSOS) Order Management Client")</f>
        <v>Controlled Substance Ordering System (CSOS) Order Management Client</v>
      </c>
      <c r="B4807" s="4" t="s">
        <v>837</v>
      </c>
      <c r="C4807" s="8" t="s">
        <v>5</v>
      </c>
      <c r="D4807" s="11" t="s">
        <v>1490</v>
      </c>
    </row>
    <row r="4808" spans="1:4" ht="30">
      <c r="A4808" s="5" t="str">
        <f>HYPERLINK("https://www.oit.va.gov/Services/TRM/ToolPage.aspx?tid=14319^","Revenue Operations (RO) Payer Compliance Tool")</f>
        <v>Revenue Operations (RO) Payer Compliance Tool</v>
      </c>
      <c r="B4808" s="4" t="s">
        <v>4737</v>
      </c>
      <c r="C4808" s="8" t="s">
        <v>5</v>
      </c>
      <c r="D4808" s="11" t="s">
        <v>862</v>
      </c>
    </row>
    <row r="4809" spans="1:4" ht="30">
      <c r="A4809" s="5" t="str">
        <f>HYPERLINK("https://www.oit.va.gov/Services/TRM/ToolPage.aspx?tid=8595^","ScriptX.Add-on")</f>
        <v>ScriptX.Add-on</v>
      </c>
      <c r="B4809" s="4" t="s">
        <v>844</v>
      </c>
      <c r="C4809" s="8" t="s">
        <v>5</v>
      </c>
      <c r="D4809" s="11" t="s">
        <v>845</v>
      </c>
    </row>
    <row r="4810" spans="1:4" ht="30">
      <c r="A4810" s="5" t="str">
        <f>HYPERLINK("https://www.oit.va.gov/Services/TRM/ToolPage.aspx?tid=15526^","Mecta Electronic Medical Records (EMR)")</f>
        <v>Mecta Electronic Medical Records (EMR)</v>
      </c>
      <c r="B4810" s="4" t="s">
        <v>8227</v>
      </c>
      <c r="C4810" s="8" t="s">
        <v>5</v>
      </c>
      <c r="D4810" s="11" t="s">
        <v>8228</v>
      </c>
    </row>
    <row r="4811" spans="1:4" ht="30">
      <c r="A4811" s="5" t="str">
        <f>HYPERLINK("https://www.oit.va.gov/Services/TRM/ToolPage.aspx?tid=6711^","MedCalc")</f>
        <v>MedCalc</v>
      </c>
      <c r="B4811" s="4" t="s">
        <v>2754</v>
      </c>
      <c r="C4811" s="8" t="s">
        <v>5</v>
      </c>
      <c r="D4811" s="11" t="s">
        <v>750</v>
      </c>
    </row>
    <row r="4812" spans="1:4" ht="30">
      <c r="A4812" s="5" t="str">
        <f>HYPERLINK("https://www.oit.va.gov/Services/TRM/ToolPage.aspx?tid=11525^","Medeco XT Web Manager")</f>
        <v>Medeco XT Web Manager</v>
      </c>
      <c r="B4812" s="4" t="s">
        <v>1717</v>
      </c>
      <c r="C4812" s="8" t="s">
        <v>5</v>
      </c>
      <c r="D4812" s="11" t="s">
        <v>1718</v>
      </c>
    </row>
    <row r="4813" spans="1:4" ht="30">
      <c r="A4813" s="5" t="str">
        <f>HYPERLINK("https://www.oit.va.gov/Services/TRM/ToolPage.aspx?tid=8977^","MAESTRO System Software")</f>
        <v>MAESTRO System Software</v>
      </c>
      <c r="B4813" s="4" t="s">
        <v>4383</v>
      </c>
      <c r="C4813" s="8" t="s">
        <v>5</v>
      </c>
      <c r="D4813" s="11" t="s">
        <v>4384</v>
      </c>
    </row>
    <row r="4814" spans="1:4" ht="30">
      <c r="A4814" s="5" t="str">
        <f>HYPERLINK("https://www.oit.va.gov/Services/TRM/ToolPage.aspx?tid=9768^","Symfit")</f>
        <v>Symfit</v>
      </c>
      <c r="B4814" s="4" t="s">
        <v>4383</v>
      </c>
      <c r="C4814" s="8" t="s">
        <v>5</v>
      </c>
      <c r="D4814" s="11" t="s">
        <v>2830</v>
      </c>
    </row>
    <row r="4815" spans="1:4" ht="30">
      <c r="A4815" s="5" t="str">
        <f>HYPERLINK("https://www.oit.va.gov/Services/TRM/ToolPage.aspx?tid=15143^","ADHEAR Configuration Software")</f>
        <v>ADHEAR Configuration Software</v>
      </c>
      <c r="B4815" s="4" t="s">
        <v>4383</v>
      </c>
      <c r="C4815" s="8" t="s">
        <v>5</v>
      </c>
      <c r="D4815" s="11" t="s">
        <v>5615</v>
      </c>
    </row>
    <row r="4816" spans="1:4" ht="30">
      <c r="A4816" s="5" t="str">
        <f>HYPERLINK("https://www.oit.va.gov/Services/TRM/ToolPage.aspx?tid=14491^","MediaInfo")</f>
        <v>MediaInfo</v>
      </c>
      <c r="B4816" s="4" t="s">
        <v>6839</v>
      </c>
      <c r="C4816" s="8" t="s">
        <v>5</v>
      </c>
      <c r="D4816" s="11" t="s">
        <v>3566</v>
      </c>
    </row>
    <row r="4817" spans="1:4" ht="30">
      <c r="A4817" s="5" t="str">
        <f>HYPERLINK("https://www.oit.va.gov/Services/TRM/ToolPage.aspx?tid=6065^","MultiMon TaskBar")</f>
        <v>MultiMon TaskBar</v>
      </c>
      <c r="B4817" s="4" t="s">
        <v>8290</v>
      </c>
      <c r="C4817" s="8" t="s">
        <v>5</v>
      </c>
      <c r="D4817" s="11" t="s">
        <v>2178</v>
      </c>
    </row>
    <row r="4818" spans="1:4" ht="30">
      <c r="A4818" s="5" t="str">
        <f>HYPERLINK("https://www.oit.va.gov/Services/TRM/ToolPage.aspx?tid=7810^","Image-Pro")</f>
        <v>Image-Pro</v>
      </c>
      <c r="B4818" s="4" t="s">
        <v>713</v>
      </c>
      <c r="C4818" s="8" t="s">
        <v>5</v>
      </c>
      <c r="D4818" s="11" t="s">
        <v>714</v>
      </c>
    </row>
    <row r="4819" spans="1:4" ht="30">
      <c r="A4819" s="5" t="str">
        <f>HYPERLINK("https://www.oit.va.gov/Services/TRM/ToolPage.aspx?tid=10865^","AutoQuant X3")</f>
        <v>AutoQuant X3</v>
      </c>
      <c r="B4819" s="4" t="s">
        <v>713</v>
      </c>
      <c r="C4819" s="8" t="s">
        <v>5</v>
      </c>
      <c r="D4819" s="11" t="s">
        <v>768</v>
      </c>
    </row>
    <row r="4820" spans="1:4" ht="30">
      <c r="A4820" s="5" t="str">
        <f>HYPERLINK("https://www.oit.va.gov/Services/TRM/ToolPage.aspx?tid=10349^","SignPlayer")</f>
        <v>SignPlayer</v>
      </c>
      <c r="B4820" s="4" t="s">
        <v>3518</v>
      </c>
      <c r="C4820" s="8" t="s">
        <v>5</v>
      </c>
      <c r="D4820" s="11" t="s">
        <v>2818</v>
      </c>
    </row>
    <row r="4821" spans="1:4" ht="30">
      <c r="A4821" s="5" t="str">
        <f>HYPERLINK("https://www.oit.va.gov/Services/TRM/ToolPage.aspx?tid=10350^","SignStudio")</f>
        <v>SignStudio</v>
      </c>
      <c r="B4821" s="4" t="s">
        <v>3518</v>
      </c>
      <c r="C4821" s="8" t="s">
        <v>5</v>
      </c>
      <c r="D4821" s="11" t="s">
        <v>3519</v>
      </c>
    </row>
    <row r="4822" spans="1:4" ht="30">
      <c r="A4822" s="5" t="str">
        <f>HYPERLINK("https://www.oit.va.gov/Services/TRM/ToolPage.aspx?tid=9564^","MediaWiki Extension: Header Tabs")</f>
        <v>MediaWiki Extension: Header Tabs</v>
      </c>
      <c r="B4822" s="4" t="s">
        <v>5329</v>
      </c>
      <c r="C4822" s="8" t="s">
        <v>5</v>
      </c>
      <c r="D4822" s="11" t="s">
        <v>4298</v>
      </c>
    </row>
    <row r="4823" spans="1:4" ht="30">
      <c r="A4823" s="5" t="str">
        <f>HYPERLINK("https://www.oit.va.gov/Services/TRM/ToolPage.aspx?tid=9643^","MediaWiki Extension: Rich Site Summary (RSS)")</f>
        <v>MediaWiki Extension: Rich Site Summary (RSS)</v>
      </c>
      <c r="B4823" s="4" t="s">
        <v>5329</v>
      </c>
      <c r="C4823" s="8" t="s">
        <v>5</v>
      </c>
      <c r="D4823" s="11" t="s">
        <v>790</v>
      </c>
    </row>
    <row r="4824" spans="1:4" ht="30">
      <c r="A4824" s="5" t="str">
        <f>HYPERLINK("https://www.oit.va.gov/Services/TRM/ToolPage.aspx?tid=9671^","MediaWiki Extension: BreadCrumbs2")</f>
        <v>MediaWiki Extension: BreadCrumbs2</v>
      </c>
      <c r="B4824" s="4" t="s">
        <v>5329</v>
      </c>
      <c r="C4824" s="8" t="s">
        <v>5</v>
      </c>
      <c r="D4824" s="11" t="s">
        <v>6198</v>
      </c>
    </row>
    <row r="4825" spans="1:4" ht="30">
      <c r="A4825" s="5" t="str">
        <f>HYPERLINK("https://www.oit.va.gov/Services/TRM/ToolPage.aspx?tid=9574^","MediaWiki Extension: RecentPages")</f>
        <v>MediaWiki Extension: RecentPages</v>
      </c>
      <c r="B4825" s="4" t="s">
        <v>5329</v>
      </c>
      <c r="C4825" s="8" t="s">
        <v>5</v>
      </c>
      <c r="D4825" s="11" t="s">
        <v>6841</v>
      </c>
    </row>
    <row r="4826" spans="1:4" ht="30">
      <c r="A4826" s="5" t="str">
        <f>HYPERLINK("https://www.oit.va.gov/Services/TRM/ToolPage.aspx?tid=9710^","Mediawiki Extension:CategoryTree")</f>
        <v>Mediawiki Extension:CategoryTree</v>
      </c>
      <c r="B4826" s="4" t="s">
        <v>5329</v>
      </c>
      <c r="C4826" s="8" t="s">
        <v>5</v>
      </c>
      <c r="D4826" s="11" t="s">
        <v>6842</v>
      </c>
    </row>
    <row r="4827" spans="1:4" ht="30">
      <c r="A4827" s="5" t="str">
        <f>HYPERLINK("https://www.oit.va.gov/Services/TRM/ToolPage.aspx?tid=9672^","MediaWiki Extension:JSBreadCrumbs")</f>
        <v>MediaWiki Extension:JSBreadCrumbs</v>
      </c>
      <c r="B4827" s="4" t="s">
        <v>5329</v>
      </c>
      <c r="C4827" s="8" t="s">
        <v>5</v>
      </c>
      <c r="D4827" s="11" t="s">
        <v>2755</v>
      </c>
    </row>
    <row r="4828" spans="1:4" ht="30">
      <c r="A4828" s="5" t="str">
        <f>HYPERLINK("https://www.oit.va.gov/Services/TRM/ToolPage.aspx?tid=9711^","Mediawiki Extension:MultiBoilerplate")</f>
        <v>Mediawiki Extension:MultiBoilerplate</v>
      </c>
      <c r="B4828" s="4" t="s">
        <v>5329</v>
      </c>
      <c r="C4828" s="8" t="s">
        <v>5</v>
      </c>
      <c r="D4828" s="11" t="s">
        <v>2577</v>
      </c>
    </row>
    <row r="4829" spans="1:4" ht="30">
      <c r="A4829" s="5" t="str">
        <f>HYPERLINK("https://www.oit.va.gov/Services/TRM/ToolPage.aspx?tid=9565^","MediaWiki Extension:WikiArticleFeeds")</f>
        <v>MediaWiki Extension:WikiArticleFeeds</v>
      </c>
      <c r="B4829" s="4" t="s">
        <v>5329</v>
      </c>
      <c r="C4829" s="8" t="s">
        <v>5</v>
      </c>
      <c r="D4829" s="11" t="s">
        <v>6843</v>
      </c>
    </row>
    <row r="4830" spans="1:4" ht="30">
      <c r="A4830" s="5" t="str">
        <f>HYPERLINK("https://www.oit.va.gov/Services/TRM/ToolPage.aspx?tid=9596^","Mediawiki Extension:CirrusSearch")</f>
        <v>Mediawiki Extension:CirrusSearch</v>
      </c>
      <c r="B4830" s="4" t="s">
        <v>5329</v>
      </c>
      <c r="C4830" s="8" t="s">
        <v>5</v>
      </c>
      <c r="D4830" s="11" t="s">
        <v>8236</v>
      </c>
    </row>
    <row r="4831" spans="1:4" ht="30">
      <c r="A4831" s="5" t="str">
        <f>HYPERLINK("https://www.oit.va.gov/Services/TRM/ToolPage.aspx?tid=9597^","Mediawiki Extension:Elastica")</f>
        <v>Mediawiki Extension:Elastica</v>
      </c>
      <c r="B4831" s="4" t="s">
        <v>5329</v>
      </c>
      <c r="C4831" s="8" t="s">
        <v>5</v>
      </c>
      <c r="D4831" s="11" t="s">
        <v>8237</v>
      </c>
    </row>
    <row r="4832" spans="1:4" ht="30">
      <c r="A4832" s="5" t="str">
        <f>HYPERLINK("https://www.oit.va.gov/Services/TRM/ToolPage.aspx?tid=15030^","SQA-Vison Automated Semen Analyzer")</f>
        <v>SQA-Vison Automated Semen Analyzer</v>
      </c>
      <c r="B4832" s="4" t="s">
        <v>7177</v>
      </c>
      <c r="C4832" s="8" t="s">
        <v>5</v>
      </c>
      <c r="D4832" s="11" t="s">
        <v>4781</v>
      </c>
    </row>
    <row r="4833" spans="1:4" ht="30">
      <c r="A4833" s="5" t="str">
        <f>HYPERLINK("https://www.oit.va.gov/Services/TRM/ToolPage.aspx?tid=15697^","Vascular Research Tools 6 Brachial Analyzer for Research")</f>
        <v>Vascular Research Tools 6 Brachial Analyzer for Research</v>
      </c>
      <c r="B4833" s="4" t="s">
        <v>3054</v>
      </c>
      <c r="C4833" s="8" t="s">
        <v>5</v>
      </c>
      <c r="D4833" s="11" t="s">
        <v>3055</v>
      </c>
    </row>
    <row r="4834" spans="1:4" ht="30">
      <c r="A4834" s="5" t="str">
        <f>HYPERLINK("https://www.oit.va.gov/Services/TRM/ToolPage.aspx?tid=15771^","Vascular Imager High-Definition (HD)")</f>
        <v>Vascular Imager High-Definition (HD)</v>
      </c>
      <c r="B4834" s="4" t="s">
        <v>3054</v>
      </c>
      <c r="C4834" s="8" t="s">
        <v>5</v>
      </c>
      <c r="D4834" s="11" t="s">
        <v>883</v>
      </c>
    </row>
    <row r="4835" spans="1:4" ht="30">
      <c r="A4835" s="5" t="str">
        <f>HYPERLINK("https://www.oit.va.gov/Services/TRM/ToolPage.aspx?tid=13816^","WinSpiroPro")</f>
        <v>WinSpiroPro</v>
      </c>
      <c r="B4835" s="4" t="s">
        <v>8938</v>
      </c>
      <c r="C4835" s="8" t="s">
        <v>5</v>
      </c>
      <c r="D4835" s="11" t="s">
        <v>8939</v>
      </c>
    </row>
    <row r="4836" spans="1:4" ht="30">
      <c r="A4836" s="5" t="str">
        <f>HYPERLINK("https://www.oit.va.gov/Services/TRM/ToolPage.aspx?tid=7357^","Pak-EDGE Unit Dose (UD) Barcode Labeling Software")</f>
        <v>Pak-EDGE Unit Dose (UD) Barcode Labeling Software</v>
      </c>
      <c r="B4836" s="4" t="s">
        <v>1823</v>
      </c>
      <c r="C4836" s="8" t="s">
        <v>5</v>
      </c>
      <c r="D4836" s="11" t="s">
        <v>1824</v>
      </c>
    </row>
    <row r="4837" spans="1:4" ht="30">
      <c r="A4837" s="5" t="str">
        <f>HYPERLINK("https://www.oit.va.gov/Services/TRM/ToolPage.aspx?tid=7783^","Mammography Reporting System 7 (MRS7) Reporting")</f>
        <v>Mammography Reporting System 7 (MRS7) Reporting</v>
      </c>
      <c r="B4837" s="4" t="s">
        <v>1708</v>
      </c>
      <c r="C4837" s="8" t="s">
        <v>5</v>
      </c>
      <c r="D4837" s="11" t="s">
        <v>1709</v>
      </c>
    </row>
    <row r="4838" spans="1:4" ht="30">
      <c r="A4838" s="5" t="str">
        <f>HYPERLINK("https://www.oit.va.gov/Services/TRM/ToolPage.aspx?tid=11572^","Patient Hub")</f>
        <v>Patient Hub</v>
      </c>
      <c r="B4838" s="4" t="s">
        <v>1708</v>
      </c>
      <c r="C4838" s="8" t="s">
        <v>5</v>
      </c>
      <c r="D4838" s="11" t="s">
        <v>804</v>
      </c>
    </row>
    <row r="4839" spans="1:4" ht="30">
      <c r="A4839" s="5" t="str">
        <f>HYPERLINK("https://www.oit.va.gov/Services/TRM/ToolPage.aspx?tid=13202^","Volpara Lung")</f>
        <v>Volpara Lung</v>
      </c>
      <c r="B4839" s="4" t="s">
        <v>1708</v>
      </c>
      <c r="C4839" s="8" t="s">
        <v>5</v>
      </c>
      <c r="D4839" s="11" t="s">
        <v>2047</v>
      </c>
    </row>
    <row r="4840" spans="1:4" ht="30">
      <c r="A4840" s="5" t="str">
        <f>HYPERLINK("https://www.oit.va.gov/Services/TRM/ToolPage.aspx?tid=10230^","Edwards Lifesciences Critical Care Simulation Toolkit")</f>
        <v>Edwards Lifesciences Critical Care Simulation Toolkit</v>
      </c>
      <c r="B4840" s="4" t="s">
        <v>7837</v>
      </c>
      <c r="C4840" s="8" t="s">
        <v>5</v>
      </c>
      <c r="D4840" s="11" t="s">
        <v>7838</v>
      </c>
    </row>
    <row r="4841" spans="1:4" ht="30">
      <c r="A4841" s="5" t="str">
        <f>HYPERLINK("https://www.oit.va.gov/Services/TRM/ToolPage.aspx?tid=15698^","Medicalholodeck")</f>
        <v>Medicalholodeck</v>
      </c>
      <c r="B4841" s="4" t="s">
        <v>2758</v>
      </c>
      <c r="C4841" s="8" t="s">
        <v>5</v>
      </c>
      <c r="D4841" s="11" t="s">
        <v>1337</v>
      </c>
    </row>
    <row r="4842" spans="1:4" ht="30">
      <c r="A4842" s="5" t="str">
        <f>HYPERLINK("https://www.oit.va.gov/Services/TRM/ToolPage.aspx?tid=9014^","Medicalis Workflow Orchestrator")</f>
        <v>Medicalis Workflow Orchestrator</v>
      </c>
      <c r="B4842" s="4" t="s">
        <v>5937</v>
      </c>
      <c r="C4842" s="8" t="s">
        <v>5</v>
      </c>
      <c r="D4842" s="11" t="s">
        <v>1698</v>
      </c>
    </row>
    <row r="4843" spans="1:4" ht="30">
      <c r="A4843" s="5" t="str">
        <f>HYPERLINK("https://www.oit.va.gov/Services/TRM/ToolPage.aspx?tid=6668^","InFlow")</f>
        <v>InFlow</v>
      </c>
      <c r="B4843" s="4" t="s">
        <v>8077</v>
      </c>
      <c r="C4843" s="8" t="s">
        <v>5</v>
      </c>
      <c r="D4843" s="11" t="s">
        <v>6744</v>
      </c>
    </row>
    <row r="4844" spans="1:4" ht="30">
      <c r="A4844" s="5" t="str">
        <f>HYPERLINK("https://www.oit.va.gov/Services/TRM/ToolPage.aspx?tid=6639^","Medicity Connect")</f>
        <v>Medicity Connect</v>
      </c>
      <c r="B4844" s="4" t="s">
        <v>5938</v>
      </c>
      <c r="C4844" s="8" t="s">
        <v>5</v>
      </c>
      <c r="D4844" s="11" t="s">
        <v>5939</v>
      </c>
    </row>
    <row r="4845" spans="1:4" ht="30">
      <c r="A4845" s="5" t="str">
        <f>HYPERLINK("https://www.oit.va.gov/Services/TRM/ToolPage.aspx?tid=11612^","Imagex")</f>
        <v>Imagex</v>
      </c>
      <c r="B4845" s="4" t="s">
        <v>1617</v>
      </c>
      <c r="C4845" s="8" t="s">
        <v>5</v>
      </c>
      <c r="D4845" s="11" t="s">
        <v>1618</v>
      </c>
    </row>
    <row r="4846" spans="1:4" ht="30">
      <c r="A4846" s="5" t="str">
        <f>HYPERLINK("https://www.oit.va.gov/Services/TRM/ToolPage.aspx?tid=15416^","Medicor Imaging Picture Archiving and Communication System (MiPACS) Storage Server")</f>
        <v>Medicor Imaging Picture Archiving and Communication System (MiPACS) Storage Server</v>
      </c>
      <c r="B4846" s="4" t="s">
        <v>1722</v>
      </c>
      <c r="C4846" s="8" t="s">
        <v>5</v>
      </c>
      <c r="D4846" s="11" t="s">
        <v>1723</v>
      </c>
    </row>
    <row r="4847" spans="1:4" ht="30">
      <c r="A4847" s="5" t="str">
        <f>HYPERLINK("https://www.oit.va.gov/Services/TRM/ToolPage.aspx?tid=9060^","Medicor Imaging Picture Archiving and Communication System (MiPACS) Dental Enterprise Viewer")</f>
        <v>Medicor Imaging Picture Archiving and Communication System (MiPACS) Dental Enterprise Viewer</v>
      </c>
      <c r="B4847" s="4" t="s">
        <v>1722</v>
      </c>
      <c r="C4847" s="8" t="s">
        <v>5</v>
      </c>
      <c r="D4847" s="11" t="s">
        <v>1723</v>
      </c>
    </row>
    <row r="4848" spans="1:4" ht="30">
      <c r="A4848" s="5" t="str">
        <f>HYPERLINK("https://www.oit.va.gov/Services/TRM/ToolPage.aspx?tid=15417^","Medicor Imaging Picture Archiving and Communication System (MiPACS) Utility Suite")</f>
        <v>Medicor Imaging Picture Archiving and Communication System (MiPACS) Utility Suite</v>
      </c>
      <c r="B4848" s="4" t="s">
        <v>1722</v>
      </c>
      <c r="C4848" s="8" t="s">
        <v>5</v>
      </c>
      <c r="D4848" s="11" t="s">
        <v>4399</v>
      </c>
    </row>
    <row r="4849" spans="1:4" ht="30">
      <c r="A4849" s="5" t="str">
        <f>HYPERLINK("https://www.oit.va.gov/Services/TRM/ToolPage.aspx?tid=16727^","InteleGrid Director Service")</f>
        <v>InteleGrid Director Service</v>
      </c>
      <c r="B4849" s="4" t="s">
        <v>3336</v>
      </c>
      <c r="C4849" s="8" t="s">
        <v>5</v>
      </c>
      <c r="D4849" s="11" t="s">
        <v>3337</v>
      </c>
    </row>
    <row r="4850" spans="1:4" ht="30">
      <c r="A4850" s="5" t="str">
        <f>HYPERLINK("https://www.oit.va.gov/Services/TRM/ToolPage.aspx?tid=6701^","InteleGRID Transfer Agent")</f>
        <v>InteleGRID Transfer Agent</v>
      </c>
      <c r="B4850" s="4" t="s">
        <v>424</v>
      </c>
      <c r="C4850" s="8" t="s">
        <v>5</v>
      </c>
      <c r="D4850" s="11" t="s">
        <v>425</v>
      </c>
    </row>
    <row r="4851" spans="1:4" ht="30">
      <c r="A4851" s="5" t="str">
        <f>HYPERLINK("https://www.oit.va.gov/Services/TRM/ToolPage.aspx?tid=6207^","Medi-Dose Information Labeling Technology (MILT)")</f>
        <v>Medi-Dose Information Labeling Technology (MILT)</v>
      </c>
      <c r="B4851" s="4" t="s">
        <v>5330</v>
      </c>
      <c r="C4851" s="8" t="s">
        <v>5</v>
      </c>
      <c r="D4851" s="11" t="s">
        <v>5331</v>
      </c>
    </row>
    <row r="4852" spans="1:4" ht="30">
      <c r="A4852" s="5" t="str">
        <f>HYPERLINK("https://www.oit.va.gov/Services/TRM/ToolPage.aspx?tid=6046^","MEDITECH Workstation")</f>
        <v>MEDITECH Workstation</v>
      </c>
      <c r="B4852" s="4" t="s">
        <v>8241</v>
      </c>
      <c r="C4852" s="8" t="s">
        <v>5</v>
      </c>
      <c r="D4852" s="11" t="s">
        <v>8140</v>
      </c>
    </row>
    <row r="4853" spans="1:4" ht="30">
      <c r="A4853" s="5" t="str">
        <f>HYPERLINK("https://www.oit.va.gov/Services/TRM/ToolPage.aspx?tid=11564^","PhantomJS-prebuilt")</f>
        <v>PhantomJS-prebuilt</v>
      </c>
      <c r="B4853" s="4" t="s">
        <v>6203</v>
      </c>
      <c r="C4853" s="8" t="s">
        <v>5</v>
      </c>
      <c r="D4853" s="11" t="s">
        <v>376</v>
      </c>
    </row>
    <row r="4854" spans="1:4" ht="30">
      <c r="A4854" s="5" t="str">
        <f>HYPERLINK("https://www.oit.va.gov/Services/TRM/ToolPage.aspx?tid=14713^","RadiAnt DICOM Viewer")</f>
        <v>RadiAnt DICOM Viewer</v>
      </c>
      <c r="B4854" s="4" t="s">
        <v>4708</v>
      </c>
      <c r="C4854" s="8" t="s">
        <v>5</v>
      </c>
      <c r="D4854" s="11" t="s">
        <v>4709</v>
      </c>
    </row>
    <row r="4855" spans="1:4" ht="30">
      <c r="A4855" s="5" t="str">
        <f>HYPERLINK("https://www.oit.va.gov/Services/TRM/ToolPage.aspx?tid=14126^","Clintrak Imaging")</f>
        <v>Clintrak Imaging</v>
      </c>
      <c r="B4855" s="4" t="s">
        <v>5715</v>
      </c>
      <c r="C4855" s="8" t="s">
        <v>5</v>
      </c>
      <c r="D4855" s="11" t="s">
        <v>3837</v>
      </c>
    </row>
    <row r="4856" spans="1:4" ht="30">
      <c r="A4856" s="5" t="str">
        <f>HYPERLINK("https://www.oit.va.gov/Services/TRM/ToolPage.aspx?tid=15814^","MedRx Studio")</f>
        <v>MedRx Studio</v>
      </c>
      <c r="B4856" s="4" t="s">
        <v>229</v>
      </c>
      <c r="C4856" s="8" t="s">
        <v>5</v>
      </c>
      <c r="D4856" s="11" t="s">
        <v>230</v>
      </c>
    </row>
    <row r="4857" spans="1:4" ht="30">
      <c r="A4857" s="5" t="str">
        <f>HYPERLINK("https://www.oit.va.gov/Services/TRM/ToolPage.aspx?tid=11028^","MedRx Avant Audiometry")</f>
        <v>MedRx Avant Audiometry</v>
      </c>
      <c r="B4857" s="4" t="s">
        <v>229</v>
      </c>
      <c r="C4857" s="8" t="s">
        <v>5</v>
      </c>
      <c r="D4857" s="11" t="s">
        <v>434</v>
      </c>
    </row>
    <row r="4858" spans="1:4" ht="30">
      <c r="A4858" s="5" t="str">
        <f>HYPERLINK("https://www.oit.va.gov/Services/TRM/ToolPage.aspx?tid=13539^","Nellcor Analytics Tool (NAT)")</f>
        <v>Nellcor Analytics Tool (NAT)</v>
      </c>
      <c r="B4858" s="4" t="s">
        <v>1237</v>
      </c>
      <c r="C4858" s="8" t="s">
        <v>5</v>
      </c>
      <c r="D4858" s="11" t="s">
        <v>1238</v>
      </c>
    </row>
    <row r="4859" spans="1:4" ht="30">
      <c r="A4859" s="5" t="str">
        <f>HYPERLINK("https://www.oit.va.gov/Services/TRM/ToolPage.aspx?tid=7846^","MedTronic TeleResponse")</f>
        <v>MedTronic TeleResponse</v>
      </c>
      <c r="B4859" s="4" t="s">
        <v>1237</v>
      </c>
      <c r="C4859" s="8" t="s">
        <v>5</v>
      </c>
      <c r="D4859" s="11" t="s">
        <v>2761</v>
      </c>
    </row>
    <row r="4860" spans="1:4" ht="30">
      <c r="A4860" s="5" t="str">
        <f>HYPERLINK("https://www.oit.va.gov/Services/TRM/ToolPage.aspx?tid=6964^","PillCam Software")</f>
        <v>PillCam Software</v>
      </c>
      <c r="B4860" s="4" t="s">
        <v>1237</v>
      </c>
      <c r="C4860" s="8" t="s">
        <v>5</v>
      </c>
      <c r="D4860" s="11" t="s">
        <v>2857</v>
      </c>
    </row>
    <row r="4861" spans="1:4" ht="30">
      <c r="A4861" s="5" t="str">
        <f>HYPERLINK("https://www.oit.va.gov/Services/TRM/ToolPage.aspx?tid=14087^","CareLink Uploader")</f>
        <v>CareLink Uploader</v>
      </c>
      <c r="B4861" s="4" t="s">
        <v>1237</v>
      </c>
      <c r="C4861" s="8" t="s">
        <v>5</v>
      </c>
      <c r="D4861" s="11" t="s">
        <v>3890</v>
      </c>
    </row>
    <row r="4862" spans="1:4" ht="30">
      <c r="A4862" s="5" t="str">
        <f>HYPERLINK("https://www.oit.va.gov/Services/TRM/ToolPage.aspx?tid=16302^","Nerve Integrity Monitor (NIMs)")</f>
        <v>Nerve Integrity Monitor (NIMs)</v>
      </c>
      <c r="B4862" s="4" t="s">
        <v>1237</v>
      </c>
      <c r="C4862" s="8" t="s">
        <v>5</v>
      </c>
      <c r="D4862" s="11" t="s">
        <v>4472</v>
      </c>
    </row>
    <row r="4863" spans="1:4" ht="30">
      <c r="A4863" s="5" t="str">
        <f>HYPERLINK("https://www.oit.va.gov/Services/TRM/ToolPage.aspx?tid=8778^","NetResponse Web")</f>
        <v>NetResponse Web</v>
      </c>
      <c r="B4863" s="4" t="s">
        <v>1237</v>
      </c>
      <c r="C4863" s="8" t="s">
        <v>5</v>
      </c>
      <c r="D4863" s="11" t="s">
        <v>4480</v>
      </c>
    </row>
    <row r="4864" spans="1:4" ht="30">
      <c r="A4864" s="5" t="str">
        <f>HYPERLINK("https://www.oit.va.gov/Services/TRM/ToolPage.aspx?tid=6415^","AccuView Reflux Software")</f>
        <v>AccuView Reflux Software</v>
      </c>
      <c r="B4864" s="4" t="s">
        <v>1237</v>
      </c>
      <c r="C4864" s="8" t="s">
        <v>5</v>
      </c>
      <c r="D4864" s="11" t="s">
        <v>5609</v>
      </c>
    </row>
    <row r="4865" spans="1:4" ht="30">
      <c r="A4865" s="5" t="str">
        <f>HYPERLINK("https://www.oit.va.gov/Services/TRM/ToolPage.aspx?tid=10876^","Hemostasis Management System Plus External Data Manager (HMS Plus EDM)")</f>
        <v>Hemostasis Management System Plus External Data Manager (HMS Plus EDM)</v>
      </c>
      <c r="B4865" s="4" t="s">
        <v>1237</v>
      </c>
      <c r="C4865" s="8" t="s">
        <v>5</v>
      </c>
      <c r="D4865" s="11" t="s">
        <v>4159</v>
      </c>
    </row>
    <row r="4866" spans="1:4" ht="30">
      <c r="A4866" s="5" t="str">
        <f>HYPERLINK("https://www.oit.va.gov/Services/TRM/ToolPage.aspx?tid=15584^","Medtronic RemoteView")</f>
        <v>Medtronic RemoteView</v>
      </c>
      <c r="B4866" s="4" t="s">
        <v>1237</v>
      </c>
      <c r="C4866" s="8" t="s">
        <v>5</v>
      </c>
      <c r="D4866" s="11" t="s">
        <v>5942</v>
      </c>
    </row>
    <row r="4867" spans="1:4" ht="30">
      <c r="A4867" s="5" t="str">
        <f>HYPERLINK("https://www.oit.va.gov/Services/TRM/ToolPage.aspx?tid=9780^","Motility Testing")</f>
        <v>Motility Testing</v>
      </c>
      <c r="B4867" s="4" t="s">
        <v>1237</v>
      </c>
      <c r="C4867" s="8" t="s">
        <v>5</v>
      </c>
      <c r="D4867" s="11" t="s">
        <v>4380</v>
      </c>
    </row>
    <row r="4868" spans="1:4" ht="30">
      <c r="A4868" s="5" t="str">
        <f>HYPERLINK("https://www.oit.va.gov/Services/TRM/ToolPage.aspx?tid=8797^","N`Vision Report Link")</f>
        <v>N`Vision Report Link</v>
      </c>
      <c r="B4868" s="4" t="s">
        <v>1237</v>
      </c>
      <c r="C4868" s="8" t="s">
        <v>5</v>
      </c>
      <c r="D4868" s="11" t="s">
        <v>441</v>
      </c>
    </row>
    <row r="4869" spans="1:4" ht="30">
      <c r="A4869" s="5" t="str">
        <f>HYPERLINK("https://www.oit.va.gov/Services/TRM/ToolPage.aspx?tid=7767^","Omnivisor Pro")</f>
        <v>Omnivisor Pro</v>
      </c>
      <c r="B4869" s="4" t="s">
        <v>1237</v>
      </c>
      <c r="C4869" s="8" t="s">
        <v>5</v>
      </c>
      <c r="D4869" s="11" t="s">
        <v>4110</v>
      </c>
    </row>
    <row r="4870" spans="1:4" ht="30">
      <c r="A4870" s="5" t="str">
        <f>HYPERLINK("https://www.oit.va.gov/Services/TRM/ToolPage.aspx?tid=9316^","Paceart Optima")</f>
        <v>Paceart Optima</v>
      </c>
      <c r="B4870" s="4" t="s">
        <v>1237</v>
      </c>
      <c r="C4870" s="8" t="s">
        <v>5</v>
      </c>
      <c r="D4870" s="11" t="s">
        <v>5988</v>
      </c>
    </row>
    <row r="4871" spans="1:4" ht="30">
      <c r="A4871" s="5" t="str">
        <f>HYPERLINK("https://www.oit.va.gov/Services/TRM/ToolPage.aspx?tid=16450^","Pushy Enterprise")</f>
        <v>Pushy Enterprise</v>
      </c>
      <c r="B4871" s="4" t="s">
        <v>1237</v>
      </c>
      <c r="C4871" s="8" t="s">
        <v>5</v>
      </c>
      <c r="D4871" s="11" t="s">
        <v>1476</v>
      </c>
    </row>
    <row r="4872" spans="1:4" ht="30">
      <c r="A4872" s="5" t="str">
        <f>HYPERLINK("https://www.oit.va.gov/Services/TRM/ToolPage.aspx?tid=8001^","Valleylab Exchange Application Software Update System")</f>
        <v>Valleylab Exchange Application Software Update System</v>
      </c>
      <c r="B4872" s="4" t="s">
        <v>1237</v>
      </c>
      <c r="C4872" s="8" t="s">
        <v>5</v>
      </c>
      <c r="D4872" s="11" t="s">
        <v>6136</v>
      </c>
    </row>
    <row r="4873" spans="1:4" ht="30">
      <c r="A4873" s="5" t="str">
        <f>HYPERLINK("https://www.oit.va.gov/Services/TRM/ToolPage.aspx?tid=10622^","ManoView Anorectal (AR) Analysis Software")</f>
        <v>ManoView Anorectal (AR) Analysis Software</v>
      </c>
      <c r="B4873" s="4" t="s">
        <v>1237</v>
      </c>
      <c r="C4873" s="8" t="s">
        <v>5</v>
      </c>
      <c r="D4873" s="11" t="s">
        <v>6899</v>
      </c>
    </row>
    <row r="4874" spans="1:4" ht="30">
      <c r="A4874" s="5" t="str">
        <f>HYPERLINK("https://www.oit.va.gov/Services/TRM/ToolPage.aspx?tid=16355^","Manoview Esophagus (ESO) Analysis Software")</f>
        <v>Manoview Esophagus (ESO) Analysis Software</v>
      </c>
      <c r="B4874" s="4" t="s">
        <v>1237</v>
      </c>
      <c r="C4874" s="8" t="s">
        <v>5</v>
      </c>
      <c r="D4874" s="11" t="s">
        <v>8216</v>
      </c>
    </row>
    <row r="4875" spans="1:4" ht="30">
      <c r="A4875" s="5" t="str">
        <f>HYPERLINK("https://www.oit.va.gov/Services/TRM/ToolPage.aspx?tid=5652^","CareLink Pro")</f>
        <v>CareLink Pro</v>
      </c>
      <c r="B4875" s="4" t="s">
        <v>2442</v>
      </c>
      <c r="C4875" s="8" t="s">
        <v>5</v>
      </c>
      <c r="D4875" s="11" t="s">
        <v>66</v>
      </c>
    </row>
    <row r="4876" spans="1:4" ht="30">
      <c r="A4876" s="5" t="str">
        <f>HYPERLINK("https://www.oit.va.gov/Services/TRM/ToolPage.aspx?tid=8690^","CareLink iPro Therapy Management Software")</f>
        <v>CareLink iPro Therapy Management Software</v>
      </c>
      <c r="B4876" s="4" t="s">
        <v>2442</v>
      </c>
      <c r="C4876" s="8" t="s">
        <v>5</v>
      </c>
      <c r="D4876" s="11" t="s">
        <v>5696</v>
      </c>
    </row>
    <row r="4877" spans="1:4" ht="30">
      <c r="A4877" s="5" t="str">
        <f>HYPERLINK("https://www.oit.va.gov/Services/TRM/ToolPage.aspx?tid=16605^","MedVantage Configure and Edit")</f>
        <v>MedVantage Configure and Edit</v>
      </c>
      <c r="B4877" s="4" t="s">
        <v>4402</v>
      </c>
      <c r="C4877" s="8" t="s">
        <v>5</v>
      </c>
      <c r="D4877" s="11" t="s">
        <v>3255</v>
      </c>
    </row>
    <row r="4878" spans="1:4" ht="30">
      <c r="A4878" s="5" t="str">
        <f>HYPERLINK("https://www.oit.va.gov/Services/TRM/ToolPage.aspx?tid=7956^","FreshDate EasyEdit+")</f>
        <v>FreshDate EasyEdit+</v>
      </c>
      <c r="B4878" s="4" t="s">
        <v>4402</v>
      </c>
      <c r="C4878" s="8" t="s">
        <v>5</v>
      </c>
      <c r="D4878" s="11" t="s">
        <v>5817</v>
      </c>
    </row>
    <row r="4879" spans="1:4" ht="30">
      <c r="A4879" s="5" t="str">
        <f>HYPERLINK("https://www.oit.va.gov/Services/TRM/ToolPage.aspx?tid=12920^","SteriDate")</f>
        <v>SteriDate</v>
      </c>
      <c r="B4879" s="4" t="s">
        <v>4402</v>
      </c>
      <c r="C4879" s="8" t="s">
        <v>5</v>
      </c>
      <c r="D4879" s="11" t="s">
        <v>2829</v>
      </c>
    </row>
    <row r="4880" spans="1:4" ht="30">
      <c r="A4880" s="5" t="str">
        <f>HYPERLINK("https://www.oit.va.gov/Services/TRM/ToolPage.aspx?tid=6048^","Telemedicine Viewer")</f>
        <v>Telemedicine Viewer</v>
      </c>
      <c r="B4880" s="4" t="s">
        <v>8784</v>
      </c>
      <c r="C4880" s="8" t="s">
        <v>5</v>
      </c>
      <c r="D4880" s="11" t="s">
        <v>8785</v>
      </c>
    </row>
    <row r="4881" spans="1:4" ht="30">
      <c r="A4881" s="5" t="str">
        <f>HYPERLINK("https://www.oit.va.gov/Services/TRM/ToolPage.aspx?tid=7537^","Molecular Evolutionary Genetics Analysis (MEGA)")</f>
        <v>Molecular Evolutionary Genetics Analysis (MEGA)</v>
      </c>
      <c r="B4881" s="4" t="s">
        <v>5359</v>
      </c>
      <c r="C4881" s="8" t="s">
        <v>5</v>
      </c>
      <c r="D4881" s="11" t="s">
        <v>5360</v>
      </c>
    </row>
    <row r="4882" spans="1:4" ht="30">
      <c r="A4882" s="5" t="str">
        <f>HYPERLINK("https://www.oit.va.gov/Services/TRM/ToolPage.aspx?tid=10863^","DriverToolkit")</f>
        <v>DriverToolkit</v>
      </c>
      <c r="B4882" s="4" t="s">
        <v>6538</v>
      </c>
      <c r="C4882" s="8" t="s">
        <v>5</v>
      </c>
      <c r="D4882" s="11" t="s">
        <v>2321</v>
      </c>
    </row>
    <row r="4883" spans="1:4" ht="30">
      <c r="A4883" s="5" t="str">
        <f>HYPERLINK("https://www.oit.va.gov/Services/TRM/ToolPage.aspx?tid=6722^","PolyAnalyst")</f>
        <v>PolyAnalyst</v>
      </c>
      <c r="B4883" s="4" t="s">
        <v>2866</v>
      </c>
      <c r="C4883" s="8" t="s">
        <v>5</v>
      </c>
      <c r="D4883" s="11" t="s">
        <v>2867</v>
      </c>
    </row>
    <row r="4884" spans="1:4" ht="30">
      <c r="A4884" s="5" t="str">
        <f>HYPERLINK("https://www.oit.va.gov/Services/TRM/ToolPage.aspx?tid=16125^","4Racer TBA Swift [SERVER]")</f>
        <v>4Racer TBA Swift [SERVER]</v>
      </c>
      <c r="B4884" s="4" t="s">
        <v>1256</v>
      </c>
      <c r="C4884" s="8" t="s">
        <v>5</v>
      </c>
      <c r="D4884" s="11" t="s">
        <v>1257</v>
      </c>
    </row>
    <row r="4885" spans="1:4" ht="30">
      <c r="A4885" s="5" t="str">
        <f>HYPERLINK("https://www.oit.va.gov/Services/TRM/ToolPage.aspx?tid=16018^","Racer Software for MEI Systems Swift Optical Edger")</f>
        <v>Racer Software for MEI Systems Swift Optical Edger</v>
      </c>
      <c r="B4885" s="4" t="s">
        <v>1256</v>
      </c>
      <c r="C4885" s="8" t="s">
        <v>5</v>
      </c>
      <c r="D4885" s="11" t="s">
        <v>376</v>
      </c>
    </row>
    <row r="4886" spans="1:4" ht="30">
      <c r="A4886" s="5" t="str">
        <f>HYPERLINK("https://www.oit.va.gov/Services/TRM/ToolPage.aspx?tid=16210^","Meilisearch")</f>
        <v>Meilisearch</v>
      </c>
      <c r="B4886" s="4" t="s">
        <v>6848</v>
      </c>
      <c r="C4886" s="8" t="s">
        <v>5</v>
      </c>
      <c r="D4886" s="11" t="s">
        <v>1126</v>
      </c>
    </row>
    <row r="4887" spans="1:4" ht="30">
      <c r="A4887" s="5" t="str">
        <f>HYPERLINK("https://www.oit.va.gov/Services/TRM/ToolPage.aspx?tid=11512^","Melco Operating System")</f>
        <v>Melco Operating System</v>
      </c>
      <c r="B4887" s="4" t="s">
        <v>4405</v>
      </c>
      <c r="C4887" s="8" t="s">
        <v>5</v>
      </c>
      <c r="D4887" s="11" t="s">
        <v>315</v>
      </c>
    </row>
    <row r="4888" spans="1:4" ht="30">
      <c r="A4888" s="5" t="str">
        <f>HYPERLINK("https://www.oit.va.gov/Services/TRM/ToolPage.aspx?tid=10490^","Design Shop")</f>
        <v>Design Shop</v>
      </c>
      <c r="B4888" s="4" t="s">
        <v>4405</v>
      </c>
      <c r="C4888" s="8" t="s">
        <v>5</v>
      </c>
      <c r="D4888" s="11" t="s">
        <v>6502</v>
      </c>
    </row>
    <row r="4889" spans="1:4" ht="30">
      <c r="A4889" s="5" t="str">
        <f>HYPERLINK("https://www.oit.va.gov/Services/TRM/ToolPage.aspx?tid=14173^","Shotcut")</f>
        <v>Shotcut</v>
      </c>
      <c r="B4889" s="4" t="s">
        <v>4785</v>
      </c>
      <c r="C4889" s="8" t="s">
        <v>5</v>
      </c>
      <c r="D4889" s="11" t="s">
        <v>4786</v>
      </c>
    </row>
    <row r="4890" spans="1:4" ht="30">
      <c r="A4890" s="5" t="str">
        <f>HYPERLINK("https://www.oit.va.gov/Services/TRM/ToolPage.aspx?tid=16083^","Inspirstar Profile Editor")</f>
        <v>Inspirstar Profile Editor</v>
      </c>
      <c r="B4890" s="4" t="s">
        <v>4265</v>
      </c>
      <c r="C4890" s="8" t="s">
        <v>5</v>
      </c>
      <c r="D4890" s="11" t="s">
        <v>1243</v>
      </c>
    </row>
    <row r="4891" spans="1:4" ht="30">
      <c r="A4891" s="5" t="str">
        <f>HYPERLINK("https://www.oit.va.gov/Services/TRM/ToolPage.aspx?tid=15956^","Mendeley Cite")</f>
        <v>Mendeley Cite</v>
      </c>
      <c r="B4891" s="4" t="s">
        <v>1040</v>
      </c>
      <c r="C4891" s="8" t="s">
        <v>5</v>
      </c>
      <c r="D4891" s="11" t="s">
        <v>1041</v>
      </c>
    </row>
    <row r="4892" spans="1:4" ht="30">
      <c r="A4892" s="5" t="str">
        <f>HYPERLINK("https://www.oit.va.gov/Services/TRM/ToolPage.aspx?tid=15723^","Mendeley Reference Manager")</f>
        <v>Mendeley Reference Manager</v>
      </c>
      <c r="B4892" s="4" t="s">
        <v>1040</v>
      </c>
      <c r="C4892" s="8" t="s">
        <v>5</v>
      </c>
      <c r="D4892" s="11" t="s">
        <v>2275</v>
      </c>
    </row>
    <row r="4893" spans="1:4" ht="30">
      <c r="A4893" s="5" t="str">
        <f>HYPERLINK("https://www.oit.va.gov/Services/TRM/ToolPage.aspx?tid=16389^","Mentalix Fed Submit Integrated Database Management System (IDMS) Mobile Identity Management")</f>
        <v>Mentalix Fed Submit Integrated Database Management System (IDMS) Mobile Identity Management</v>
      </c>
      <c r="B4893" s="4" t="s">
        <v>1726</v>
      </c>
      <c r="C4893" s="8" t="s">
        <v>5</v>
      </c>
      <c r="D4893" s="11" t="s">
        <v>1727</v>
      </c>
    </row>
    <row r="4894" spans="1:4" ht="30">
      <c r="A4894" s="5" t="str">
        <f>HYPERLINK("https://www.oit.va.gov/Services/TRM/ToolPage.aspx?tid=16788^","Mentimeter for PowerPoint")</f>
        <v>Mentimeter for PowerPoint</v>
      </c>
      <c r="B4894" s="4" t="s">
        <v>8248</v>
      </c>
      <c r="C4894" s="8" t="s">
        <v>5</v>
      </c>
      <c r="D4894" s="11" t="s">
        <v>8249</v>
      </c>
    </row>
    <row r="4895" spans="1:4" ht="30">
      <c r="A4895" s="5" t="str">
        <f>HYPERLINK("https://www.oit.va.gov/Services/TRM/ToolPage.aspx?tid=5960^","Merge Cardio")</f>
        <v>Merge Cardio</v>
      </c>
      <c r="B4895" s="4" t="s">
        <v>5943</v>
      </c>
      <c r="C4895" s="8" t="s">
        <v>5</v>
      </c>
      <c r="D4895" s="11" t="s">
        <v>4839</v>
      </c>
    </row>
    <row r="4896" spans="1:4" ht="30">
      <c r="A4896" s="5" t="str">
        <f>HYPERLINK("https://www.oit.va.gov/Services/TRM/ToolPage.aspx?tid=11271^","Merge PACS")</f>
        <v>Merge PACS</v>
      </c>
      <c r="B4896" s="4" t="s">
        <v>5943</v>
      </c>
      <c r="C4896" s="8" t="s">
        <v>5</v>
      </c>
      <c r="D4896" s="11" t="s">
        <v>4401</v>
      </c>
    </row>
    <row r="4897" spans="1:4" ht="30">
      <c r="A4897" s="5" t="str">
        <f>HYPERLINK("https://www.oit.va.gov/Services/TRM/ToolPage.aspx?tid=11547^","EZ-Vote Connect")</f>
        <v>EZ-Vote Connect</v>
      </c>
      <c r="B4897" s="4" t="s">
        <v>4116</v>
      </c>
      <c r="C4897" s="8" t="s">
        <v>5</v>
      </c>
      <c r="D4897" s="11" t="s">
        <v>4117</v>
      </c>
    </row>
    <row r="4898" spans="1:4" ht="30">
      <c r="A4898" s="5" t="str">
        <f>HYPERLINK("https://www.oit.va.gov/Services/TRM/ToolPage.aspx?tid=9068^","Merrill`s Expanded Guide (MXG) Software")</f>
        <v>Merrill`s Expanded Guide (MXG) Software</v>
      </c>
      <c r="B4898" s="4" t="s">
        <v>4406</v>
      </c>
      <c r="C4898" s="8" t="s">
        <v>5</v>
      </c>
      <c r="D4898" s="11" t="s">
        <v>871</v>
      </c>
    </row>
    <row r="4899" spans="1:4" ht="30">
      <c r="A4899" s="5" t="str">
        <f>HYPERLINK("https://www.oit.va.gov/Services/TRM/ToolPage.aspx?tid=16580^","Solstice")</f>
        <v>Solstice</v>
      </c>
      <c r="B4899" s="4" t="s">
        <v>4822</v>
      </c>
      <c r="C4899" s="8" t="s">
        <v>5</v>
      </c>
      <c r="D4899" s="11" t="s">
        <v>1147</v>
      </c>
    </row>
    <row r="4900" spans="1:4" ht="30">
      <c r="A4900" s="5" t="str">
        <f>HYPERLINK("https://www.oit.va.gov/Services/TRM/ToolPage.aspx?tid=5893^","ViewPoint Continuous Monitoring Software (CMS)")</f>
        <v>ViewPoint Continuous Monitoring Software (CMS)</v>
      </c>
      <c r="B4900" s="4" t="s">
        <v>337</v>
      </c>
      <c r="C4900" s="8" t="s">
        <v>5</v>
      </c>
      <c r="D4900" s="11" t="s">
        <v>338</v>
      </c>
    </row>
    <row r="4901" spans="1:4" ht="30">
      <c r="A4901" s="5" t="str">
        <f>HYPERLINK("https://www.oit.va.gov/Services/TRM/ToolPage.aspx?tid=16555^","ActiveReports")</f>
        <v>ActiveReports</v>
      </c>
      <c r="B4901" s="4" t="s">
        <v>915</v>
      </c>
      <c r="C4901" s="8" t="s">
        <v>5</v>
      </c>
      <c r="D4901" s="11" t="s">
        <v>706</v>
      </c>
    </row>
    <row r="4902" spans="1:4" ht="30">
      <c r="A4902" s="5" t="str">
        <f>HYPERLINK("https://www.oit.va.gov/Services/TRM/ToolPage.aspx?tid=16281^","QUICKSURFACE for SOLIDWORKS")</f>
        <v>QUICKSURFACE for SOLIDWORKS</v>
      </c>
      <c r="B4902" s="4" t="s">
        <v>4698</v>
      </c>
      <c r="C4902" s="8" t="s">
        <v>5</v>
      </c>
      <c r="D4902" s="11" t="s">
        <v>3704</v>
      </c>
    </row>
    <row r="4903" spans="1:4" ht="30">
      <c r="A4903" s="5" t="str">
        <f>HYPERLINK("https://www.oit.va.gov/Services/TRM/ToolPage.aspx?tid=13818^","MESIResults")</f>
        <v>MESIResults</v>
      </c>
      <c r="B4903" s="4" t="s">
        <v>4407</v>
      </c>
      <c r="C4903" s="8" t="s">
        <v>5</v>
      </c>
      <c r="D4903" s="11" t="s">
        <v>2517</v>
      </c>
    </row>
    <row r="4904" spans="1:4" ht="30">
      <c r="A4904" s="5" t="str">
        <f>HYPERLINK("https://www.oit.va.gov/Services/TRM/ToolPage.aspx?tid=16606^","DISCOVERY WORKBENCH")</f>
        <v>DISCOVERY WORKBENCH</v>
      </c>
      <c r="B4904" s="4" t="s">
        <v>3254</v>
      </c>
      <c r="C4904" s="8" t="s">
        <v>5</v>
      </c>
      <c r="D4904" s="11" t="s">
        <v>3255</v>
      </c>
    </row>
    <row r="4905" spans="1:4" ht="30">
      <c r="A4905" s="5" t="str">
        <f>HYPERLINK("https://www.oit.va.gov/Services/TRM/ToolPage.aspx?tid=8891^","MestReNova (Mnova)")</f>
        <v>MestReNova (Mnova)</v>
      </c>
      <c r="B4905" s="4" t="s">
        <v>757</v>
      </c>
      <c r="C4905" s="8" t="s">
        <v>5</v>
      </c>
      <c r="D4905" s="11" t="s">
        <v>758</v>
      </c>
    </row>
    <row r="4906" spans="1:4" ht="30">
      <c r="A4906" s="5" t="str">
        <f>HYPERLINK("https://www.oit.va.gov/Services/TRM/ToolPage.aspx?tid=10254^","React")</f>
        <v>React</v>
      </c>
      <c r="B4906" s="4" t="s">
        <v>1085</v>
      </c>
      <c r="C4906" s="8" t="s">
        <v>5</v>
      </c>
      <c r="D4906" s="11" t="s">
        <v>1086</v>
      </c>
    </row>
    <row r="4907" spans="1:4" ht="30">
      <c r="A4907" s="5" t="str">
        <f>HYPERLINK("https://www.oit.va.gov/Services/TRM/ToolPage.aspx?tid=13275^","React Native")</f>
        <v>React Native</v>
      </c>
      <c r="B4907" s="4" t="s">
        <v>1085</v>
      </c>
      <c r="C4907" s="8" t="s">
        <v>5</v>
      </c>
      <c r="D4907" s="11" t="s">
        <v>1886</v>
      </c>
    </row>
    <row r="4908" spans="1:4" ht="30">
      <c r="A4908" s="5" t="str">
        <f>HYPERLINK("https://www.oit.va.gov/Services/TRM/ToolPage.aspx?tid=14251^","React Developer Tools")</f>
        <v>React Developer Tools</v>
      </c>
      <c r="B4908" s="4" t="s">
        <v>1085</v>
      </c>
      <c r="C4908" s="8" t="s">
        <v>5</v>
      </c>
      <c r="D4908" s="11" t="s">
        <v>4716</v>
      </c>
    </row>
    <row r="4909" spans="1:4" ht="30">
      <c r="A4909" s="5" t="str">
        <f>HYPERLINK("https://www.oit.va.gov/Services/TRM/ToolPage.aspx?tid=14186^","Zstandard (zstd)")</f>
        <v>Zstandard (zstd)</v>
      </c>
      <c r="B4909" s="4" t="s">
        <v>1085</v>
      </c>
      <c r="C4909" s="8" t="s">
        <v>5</v>
      </c>
      <c r="D4909" s="11" t="s">
        <v>5021</v>
      </c>
    </row>
    <row r="4910" spans="1:4" ht="30">
      <c r="A4910" s="5" t="str">
        <f>HYPERLINK("https://www.oit.va.gov/Services/TRM/ToolPage.aspx?tid=14230^","Redux Dev tool")</f>
        <v>Redux Dev tool</v>
      </c>
      <c r="B4910" s="4" t="s">
        <v>1085</v>
      </c>
      <c r="C4910" s="8" t="s">
        <v>5</v>
      </c>
      <c r="D4910" s="11" t="s">
        <v>8</v>
      </c>
    </row>
    <row r="4911" spans="1:4" ht="30">
      <c r="A4911" s="5" t="str">
        <f>HYPERLINK("https://www.oit.va.gov/Services/TRM/ToolPage.aspx?tid=16603^","WhatsApp")</f>
        <v>WhatsApp</v>
      </c>
      <c r="B4911" s="4" t="s">
        <v>1085</v>
      </c>
      <c r="C4911" s="8" t="s">
        <v>5</v>
      </c>
      <c r="D4911" s="11" t="s">
        <v>8922</v>
      </c>
    </row>
    <row r="4912" spans="1:4" ht="30">
      <c r="A4912" s="5" t="str">
        <f>HYPERLINK("https://www.oit.va.gov/Services/TRM/ToolPage.aspx?tid=10870^","Meta Integration Model Bridge (MIMB)")</f>
        <v>Meta Integration Model Bridge (MIMB)</v>
      </c>
      <c r="B4912" s="4" t="s">
        <v>2276</v>
      </c>
      <c r="C4912" s="8" t="s">
        <v>5</v>
      </c>
      <c r="D4912" s="11" t="s">
        <v>2277</v>
      </c>
    </row>
    <row r="4913" spans="1:4" ht="30">
      <c r="A4913" s="5" t="str">
        <f>HYPERLINK("https://www.oit.va.gov/Services/TRM/ToolPage.aspx?tid=16114^","Metabase")</f>
        <v>Metabase</v>
      </c>
      <c r="B4913" s="4" t="s">
        <v>5944</v>
      </c>
      <c r="C4913" s="8" t="s">
        <v>5</v>
      </c>
      <c r="D4913" s="11" t="s">
        <v>5945</v>
      </c>
    </row>
    <row r="4914" spans="1:4" ht="30">
      <c r="A4914" s="5" t="str">
        <f>HYPERLINK("https://www.oit.va.gov/Services/TRM/ToolPage.aspx?tid=15440^","Metacoda Plug-In for Statistical Analysis System (SAS) Management Console")</f>
        <v>Metacoda Plug-In for Statistical Analysis System (SAS) Management Console</v>
      </c>
      <c r="B4914" s="4" t="s">
        <v>1728</v>
      </c>
      <c r="C4914" s="8" t="s">
        <v>5</v>
      </c>
      <c r="D4914" s="11" t="s">
        <v>539</v>
      </c>
    </row>
    <row r="4915" spans="1:4" ht="30">
      <c r="A4915" s="5" t="str">
        <f>HYPERLINK("https://www.oit.va.gov/Services/TRM/ToolPage.aspx?tid=13801^","DBD-Pg")</f>
        <v>DBD-Pg</v>
      </c>
      <c r="B4915" s="4" t="s">
        <v>5747</v>
      </c>
      <c r="C4915" s="8" t="s">
        <v>5</v>
      </c>
      <c r="D4915" s="11" t="s">
        <v>3297</v>
      </c>
    </row>
    <row r="4916" spans="1:4" ht="30">
      <c r="A4916" s="5" t="str">
        <f>HYPERLINK("https://www.oit.va.gov/Services/TRM/ToolPage.aspx?tid=14764^","inSSIDer")</f>
        <v>inSSIDer</v>
      </c>
      <c r="B4916" s="4" t="s">
        <v>6718</v>
      </c>
      <c r="C4916" s="8" t="s">
        <v>5</v>
      </c>
      <c r="D4916" s="11" t="s">
        <v>309</v>
      </c>
    </row>
    <row r="4917" spans="1:4" ht="30">
      <c r="A4917" s="5" t="str">
        <f>HYPERLINK("https://www.oit.va.gov/Services/TRM/ToolPage.aspx?tid=14656^","Metazoa Player")</f>
        <v>Metazoa Player</v>
      </c>
      <c r="B4917" s="4" t="s">
        <v>8256</v>
      </c>
      <c r="C4917" s="8" t="s">
        <v>5</v>
      </c>
      <c r="D4917" s="11" t="s">
        <v>6334</v>
      </c>
    </row>
    <row r="4918" spans="1:4" ht="30">
      <c r="A4918" s="5" t="str">
        <f>HYPERLINK("https://www.oit.va.gov/Services/TRM/ToolPage.aspx?tid=14651^","Metazoa Snapshot Change and Release Management for Salesforce")</f>
        <v>Metazoa Snapshot Change and Release Management for Salesforce</v>
      </c>
      <c r="B4918" s="4" t="s">
        <v>8256</v>
      </c>
      <c r="C4918" s="8" t="s">
        <v>5</v>
      </c>
      <c r="D4918" s="11" t="s">
        <v>710</v>
      </c>
    </row>
    <row r="4919" spans="1:4" ht="30">
      <c r="A4919" s="5" t="str">
        <f>HYPERLINK("https://www.oit.va.gov/Services/TRM/ToolPage.aspx?tid=15795^","HistoView")</f>
        <v>HistoView</v>
      </c>
      <c r="B4919" s="4" t="s">
        <v>5856</v>
      </c>
      <c r="C4919" s="8" t="s">
        <v>5</v>
      </c>
      <c r="D4919" s="11" t="s">
        <v>5857</v>
      </c>
    </row>
    <row r="4920" spans="1:4" ht="30">
      <c r="A4920" s="5" t="str">
        <f>HYPERLINK("https://www.oit.va.gov/Services/TRM/ToolPage.aspx?tid=8130^","Category Test (CAT)")</f>
        <v>Category Test (CAT)</v>
      </c>
      <c r="B4920" s="4" t="s">
        <v>2448</v>
      </c>
      <c r="C4920" s="8" t="s">
        <v>5</v>
      </c>
      <c r="D4920" s="11" t="s">
        <v>2449</v>
      </c>
    </row>
    <row r="4921" spans="1:4" ht="30">
      <c r="A4921" s="5" t="str">
        <f>HYPERLINK("https://www.oit.va.gov/Services/TRM/ToolPage.aspx?tid=14225^","QEWD.js")</f>
        <v>QEWD.js</v>
      </c>
      <c r="B4921" s="4" t="s">
        <v>450</v>
      </c>
      <c r="C4921" s="8" t="s">
        <v>5</v>
      </c>
      <c r="D4921" s="11" t="s">
        <v>451</v>
      </c>
    </row>
    <row r="4922" spans="1:4" ht="30">
      <c r="A4922" s="5" t="str">
        <f>HYPERLINK("https://www.oit.va.gov/Services/TRM/ToolPage.aspx?tid=16876^","mg_web")</f>
        <v>mg_web</v>
      </c>
      <c r="B4922" s="4" t="s">
        <v>450</v>
      </c>
      <c r="C4922" s="8" t="s">
        <v>5</v>
      </c>
      <c r="D4922" s="11" t="s">
        <v>1042</v>
      </c>
    </row>
    <row r="4923" spans="1:4" ht="30">
      <c r="A4923" s="5" t="str">
        <f>HYPERLINK("https://www.oit.va.gov/Services/TRM/ToolPage.aspx?tid=8295^","BreezeSuite")</f>
        <v>BreezeSuite</v>
      </c>
      <c r="B4923" s="4" t="s">
        <v>1381</v>
      </c>
      <c r="C4923" s="8" t="s">
        <v>5</v>
      </c>
      <c r="D4923" s="11" t="s">
        <v>1382</v>
      </c>
    </row>
    <row r="4924" spans="1:4" ht="30">
      <c r="A4924" s="5" t="str">
        <f>HYPERLINK("https://www.oit.va.gov/Services/TRM/ToolPage.aspx?tid=11480^","SecurTRAK")</f>
        <v>SecurTRAK</v>
      </c>
      <c r="B4924" s="4" t="s">
        <v>321</v>
      </c>
      <c r="C4924" s="8" t="s">
        <v>5</v>
      </c>
      <c r="D4924" s="11" t="s">
        <v>322</v>
      </c>
    </row>
    <row r="4925" spans="1:4" ht="30">
      <c r="A4925" s="5" t="str">
        <f>HYPERLINK("https://www.oit.va.gov/Services/TRM/ToolPage.aspx?tid=9567^","Simple Network Management Protocol (SNMP) Master Agent")</f>
        <v>Simple Network Management Protocol (SNMP) Master Agent</v>
      </c>
      <c r="B4925" s="4" t="s">
        <v>853</v>
      </c>
      <c r="C4925" s="8" t="s">
        <v>5</v>
      </c>
      <c r="D4925" s="11" t="s">
        <v>854</v>
      </c>
    </row>
    <row r="4926" spans="1:4" ht="30">
      <c r="A4926" s="5" t="str">
        <f>HYPERLINK("https://www.oit.va.gov/Services/TRM/ToolPage.aspx?tid=6052^","MG-SOFT Management Information Base (MIB) Browser")</f>
        <v>MG-SOFT Management Information Base (MIB) Browser</v>
      </c>
      <c r="B4926" s="4" t="s">
        <v>853</v>
      </c>
      <c r="C4926" s="8" t="s">
        <v>5</v>
      </c>
      <c r="D4926" s="11" t="s">
        <v>5949</v>
      </c>
    </row>
    <row r="4927" spans="1:4" ht="30">
      <c r="A4927" s="5" t="str">
        <f>HYPERLINK("https://www.oit.va.gov/Services/TRM/ToolPage.aspx?tid=15845^","Codename: The Bridge")</f>
        <v>Codename: The Bridge</v>
      </c>
      <c r="B4927" s="4" t="s">
        <v>2472</v>
      </c>
      <c r="C4927" s="8" t="s">
        <v>5</v>
      </c>
      <c r="D4927" s="11" t="s">
        <v>1423</v>
      </c>
    </row>
    <row r="4928" spans="1:4" ht="30">
      <c r="A4928" s="5" t="str">
        <f>HYPERLINK("https://www.oit.va.gov/Services/TRM/ToolPage.aspx?tid=11126^","Mocha-JUnit-Reporter")</f>
        <v>Mocha-JUnit-Reporter</v>
      </c>
      <c r="B4928" s="4" t="s">
        <v>5357</v>
      </c>
      <c r="C4928" s="8" t="s">
        <v>5</v>
      </c>
      <c r="D4928" s="11" t="s">
        <v>5358</v>
      </c>
    </row>
    <row r="4929" spans="1:4" ht="30">
      <c r="A4929" s="5" t="str">
        <f>HYPERLINK("https://www.oit.va.gov/Services/TRM/ToolPage.aspx?tid=12991^","amqplib")</f>
        <v>amqplib</v>
      </c>
      <c r="B4929" s="4" t="s">
        <v>482</v>
      </c>
      <c r="C4929" s="8" t="s">
        <v>5</v>
      </c>
      <c r="D4929" s="11" t="s">
        <v>483</v>
      </c>
    </row>
    <row r="4930" spans="1:4" ht="30">
      <c r="A4930" s="5" t="str">
        <f>HYPERLINK("https://www.oit.va.gov/Services/TRM/ToolPage.aspx?tid=6082^","NSClient++ (NSCP)")</f>
        <v>NSClient++ (NSCP)</v>
      </c>
      <c r="B4930" s="4" t="s">
        <v>6950</v>
      </c>
      <c r="C4930" s="8" t="s">
        <v>5</v>
      </c>
      <c r="D4930" s="11" t="s">
        <v>5741</v>
      </c>
    </row>
    <row r="4931" spans="1:4" ht="30">
      <c r="A4931" s="5" t="str">
        <f>HYPERLINK("https://www.oit.va.gov/Services/TRM/ToolPage.aspx?tid=11674^","check-dependencies")</f>
        <v>check-dependencies</v>
      </c>
      <c r="B4931" s="4" t="s">
        <v>3907</v>
      </c>
      <c r="C4931" s="8" t="s">
        <v>5</v>
      </c>
      <c r="D4931" s="11" t="s">
        <v>3908</v>
      </c>
    </row>
    <row r="4932" spans="1:4" ht="30">
      <c r="A4932" s="5" t="str">
        <f>HYPERLINK("https://www.oit.va.gov/Services/TRM/ToolPage.aspx?tid=13273^","ZXing.NET")</f>
        <v>ZXing.NET</v>
      </c>
      <c r="B4932" s="4" t="s">
        <v>1223</v>
      </c>
      <c r="C4932" s="8" t="s">
        <v>5</v>
      </c>
      <c r="D4932" s="11" t="s">
        <v>1224</v>
      </c>
    </row>
    <row r="4933" spans="1:4" ht="30">
      <c r="A4933" s="5" t="str">
        <f>HYPERLINK("https://www.oit.va.gov/Services/TRM/ToolPage.aspx?tid=6483^","Business Service Management (BSM)")</f>
        <v>Business Service Management (BSM)</v>
      </c>
      <c r="B4933" s="4" t="s">
        <v>602</v>
      </c>
      <c r="C4933" s="8" t="s">
        <v>5</v>
      </c>
      <c r="D4933" s="11" t="s">
        <v>603</v>
      </c>
    </row>
    <row r="4934" spans="1:4" ht="30">
      <c r="A4934" s="5" t="str">
        <f>HYPERLINK("https://www.oit.va.gov/Services/TRM/ToolPage.aspx?tid=6404^","Reflection for Secure Information Technology (IT)")</f>
        <v>Reflection for Secure Information Technology (IT)</v>
      </c>
      <c r="B4934" s="4" t="s">
        <v>602</v>
      </c>
      <c r="C4934" s="8" t="s">
        <v>5</v>
      </c>
      <c r="D4934" s="11" t="s">
        <v>828</v>
      </c>
    </row>
    <row r="4935" spans="1:4" ht="30">
      <c r="A4935" s="5" t="str">
        <f>HYPERLINK("https://www.oit.va.gov/Services/TRM/ToolPage.aspx?tid=6277^","LoadRunner Enterprise")</f>
        <v>LoadRunner Enterprise</v>
      </c>
      <c r="B4935" s="4" t="s">
        <v>602</v>
      </c>
      <c r="C4935" s="8" t="s">
        <v>5</v>
      </c>
      <c r="D4935" s="11" t="s">
        <v>1699</v>
      </c>
    </row>
    <row r="4936" spans="1:4" ht="30">
      <c r="A4936" s="5" t="str">
        <f>HYPERLINK("https://www.oit.va.gov/Services/TRM/ToolPage.aspx?tid=7321^","Orbacus")</f>
        <v>Orbacus</v>
      </c>
      <c r="B4936" s="4" t="s">
        <v>602</v>
      </c>
      <c r="C4936" s="8" t="s">
        <v>5</v>
      </c>
      <c r="D4936" s="11" t="s">
        <v>1820</v>
      </c>
    </row>
    <row r="4937" spans="1:4" ht="30">
      <c r="A4937" s="5" t="str">
        <f>HYPERLINK("https://www.oit.va.gov/Services/TRM/ToolPage.aspx?tid=7977^","Reflection X Advantage (RXA)")</f>
        <v>Reflection X Advantage (RXA)</v>
      </c>
      <c r="B4937" s="4" t="s">
        <v>602</v>
      </c>
      <c r="C4937" s="8" t="s">
        <v>5</v>
      </c>
      <c r="D4937" s="11" t="s">
        <v>1891</v>
      </c>
    </row>
    <row r="4938" spans="1:4" ht="30">
      <c r="A4938" s="5" t="str">
        <f>HYPERLINK("https://www.oit.va.gov/Services/TRM/ToolPage.aspx?tid=6072^","NetIQ AppManager")</f>
        <v>NetIQ AppManager</v>
      </c>
      <c r="B4938" s="4" t="s">
        <v>602</v>
      </c>
      <c r="C4938" s="8" t="s">
        <v>5</v>
      </c>
      <c r="D4938" s="11" t="s">
        <v>2158</v>
      </c>
    </row>
    <row r="4939" spans="1:4" ht="30">
      <c r="A4939" s="5" t="str">
        <f>HYPERLINK("https://www.oit.va.gov/Services/TRM/ToolPage.aspx?tid=8126^","Verastream Host Integrator")</f>
        <v>Verastream Host Integrator</v>
      </c>
      <c r="B4939" s="4" t="s">
        <v>602</v>
      </c>
      <c r="C4939" s="8" t="s">
        <v>5</v>
      </c>
      <c r="D4939" s="11" t="s">
        <v>1221</v>
      </c>
    </row>
    <row r="4940" spans="1:4" ht="30">
      <c r="A4940" s="5" t="str">
        <f>HYPERLINK("https://www.oit.va.gov/Services/TRM/ToolPage.aspx?tid=9437^","Application Lifecycle Management (ALM)")</f>
        <v>Application Lifecycle Management (ALM)</v>
      </c>
      <c r="B4940" s="4" t="s">
        <v>602</v>
      </c>
      <c r="C4940" s="8" t="s">
        <v>5</v>
      </c>
      <c r="D4940" s="11" t="s">
        <v>1927</v>
      </c>
    </row>
    <row r="4941" spans="1:4" ht="30">
      <c r="A4941" s="5" t="str">
        <f>HYPERLINK("https://www.oit.va.gov/Services/TRM/ToolPage.aspx?tid=15618^","Micro Focus Enterprise Analyzer")</f>
        <v>Micro Focus Enterprise Analyzer</v>
      </c>
      <c r="B4941" s="4" t="s">
        <v>602</v>
      </c>
      <c r="C4941" s="8" t="s">
        <v>5</v>
      </c>
      <c r="D4941" s="11" t="s">
        <v>2764</v>
      </c>
    </row>
    <row r="4942" spans="1:4" ht="30">
      <c r="A4942" s="5" t="str">
        <f>HYPERLINK("https://www.oit.va.gov/Services/TRM/ToolPage.aspx?tid=6472^","Server Express")</f>
        <v>Server Express</v>
      </c>
      <c r="B4942" s="4" t="s">
        <v>602</v>
      </c>
      <c r="C4942" s="8" t="s">
        <v>5</v>
      </c>
      <c r="D4942" s="11" t="s">
        <v>2945</v>
      </c>
    </row>
    <row r="4943" spans="1:4" ht="30">
      <c r="A4943" s="5" t="str">
        <f>HYPERLINK("https://www.oit.va.gov/Services/TRM/ToolPage.aspx?tid=7069^","Network Virtualization (NV)")</f>
        <v>Network Virtualization (NV)</v>
      </c>
      <c r="B4943" s="4" t="s">
        <v>602</v>
      </c>
      <c r="C4943" s="8" t="s">
        <v>5</v>
      </c>
      <c r="D4943" s="11" t="s">
        <v>3409</v>
      </c>
    </row>
    <row r="4944" spans="1:4" ht="30">
      <c r="A4944" s="5" t="str">
        <f>HYPERLINK("https://www.oit.va.gov/Services/TRM/ToolPage.aspx?tid=13370^","Reflection for Secure Information Technology (IT) Gateway")</f>
        <v>Reflection for Secure Information Technology (IT) Gateway</v>
      </c>
      <c r="B4944" s="4" t="s">
        <v>602</v>
      </c>
      <c r="C4944" s="8" t="s">
        <v>5</v>
      </c>
      <c r="D4944" s="11" t="s">
        <v>3483</v>
      </c>
    </row>
    <row r="4945" spans="1:4" ht="30">
      <c r="A4945" s="5" t="str">
        <f>HYPERLINK("https://www.oit.va.gov/Services/TRM/ToolPage.aspx?tid=15822^","AutoPass License Server (APLS)")</f>
        <v>AutoPass License Server (APLS)</v>
      </c>
      <c r="B4945" s="4" t="s">
        <v>602</v>
      </c>
      <c r="C4945" s="8" t="s">
        <v>5</v>
      </c>
      <c r="D4945" s="11" t="s">
        <v>2794</v>
      </c>
    </row>
    <row r="4946" spans="1:4" ht="30">
      <c r="A4946" s="5" t="str">
        <f>HYPERLINK("https://www.oit.va.gov/Services/TRM/ToolPage.aspx?tid=7270^","Data Protector")</f>
        <v>Data Protector</v>
      </c>
      <c r="B4946" s="4" t="s">
        <v>602</v>
      </c>
      <c r="C4946" s="8" t="s">
        <v>5</v>
      </c>
      <c r="D4946" s="11" t="s">
        <v>2511</v>
      </c>
    </row>
    <row r="4947" spans="1:4" ht="30">
      <c r="A4947" s="5" t="str">
        <f>HYPERLINK("https://www.oit.va.gov/Services/TRM/ToolPage.aspx?tid=6725^","Host Access Management and Security Server")</f>
        <v>Host Access Management and Security Server</v>
      </c>
      <c r="B4947" s="4" t="s">
        <v>602</v>
      </c>
      <c r="C4947" s="8" t="s">
        <v>5</v>
      </c>
      <c r="D4947" s="11" t="s">
        <v>4227</v>
      </c>
    </row>
    <row r="4948" spans="1:4" ht="30">
      <c r="A4948" s="5" t="str">
        <f>HYPERLINK("https://www.oit.va.gov/Services/TRM/ToolPage.aspx?tid=5994^","Micro Focus Content Manager")</f>
        <v>Micro Focus Content Manager</v>
      </c>
      <c r="B4948" s="4" t="s">
        <v>602</v>
      </c>
      <c r="C4948" s="8" t="s">
        <v>5</v>
      </c>
      <c r="D4948" s="11" t="s">
        <v>2581</v>
      </c>
    </row>
    <row r="4949" spans="1:4" ht="30">
      <c r="A4949" s="5" t="str">
        <f>HYPERLINK("https://www.oit.va.gov/Services/TRM/ToolPage.aspx?tid=6996^","Quality Center")</f>
        <v>Quality Center</v>
      </c>
      <c r="B4949" s="4" t="s">
        <v>602</v>
      </c>
      <c r="C4949" s="8" t="s">
        <v>5</v>
      </c>
      <c r="D4949" s="11" t="s">
        <v>806</v>
      </c>
    </row>
    <row r="4950" spans="1:4" ht="30">
      <c r="A4950" s="5" t="str">
        <f>HYPERLINK("https://www.oit.va.gov/Services/TRM/ToolPage.aspx?tid=8879^","Intelligent Data Operating Layer (IDOL)")</f>
        <v>Intelligent Data Operating Layer (IDOL)</v>
      </c>
      <c r="B4950" s="4" t="s">
        <v>602</v>
      </c>
      <c r="C4950" s="8" t="s">
        <v>5</v>
      </c>
      <c r="D4950" s="11" t="s">
        <v>2272</v>
      </c>
    </row>
    <row r="4951" spans="1:4" ht="30">
      <c r="A4951" s="5" t="str">
        <f>HYPERLINK("https://www.oit.va.gov/Services/TRM/ToolPage.aspx?tid=10990^","Micro Focus Diagnostics")</f>
        <v>Micro Focus Diagnostics</v>
      </c>
      <c r="B4951" s="4" t="s">
        <v>602</v>
      </c>
      <c r="C4951" s="8" t="s">
        <v>5</v>
      </c>
      <c r="D4951" s="11" t="s">
        <v>3395</v>
      </c>
    </row>
    <row r="4952" spans="1:4" ht="30">
      <c r="A4952" s="5" t="str">
        <f>HYPERLINK("https://www.oit.va.gov/Services/TRM/ToolPage.aspx?tid=10169^","Common Business Oriented Language (COBOL) Server")</f>
        <v>Common Business Oriented Language (COBOL) Server</v>
      </c>
      <c r="B4952" s="4" t="s">
        <v>602</v>
      </c>
      <c r="C4952" s="8" t="s">
        <v>5</v>
      </c>
      <c r="D4952" s="11" t="s">
        <v>6445</v>
      </c>
    </row>
    <row r="4953" spans="1:4" ht="30">
      <c r="A4953" s="5" t="str">
        <f>HYPERLINK("https://www.oit.va.gov/Services/TRM/ToolPage.aspx?tid=7136^","EnterpriseLink")</f>
        <v>EnterpriseLink</v>
      </c>
      <c r="B4953" s="4" t="s">
        <v>602</v>
      </c>
      <c r="C4953" s="8" t="s">
        <v>5</v>
      </c>
      <c r="D4953" s="11" t="s">
        <v>6580</v>
      </c>
    </row>
    <row r="4954" spans="1:4" ht="30">
      <c r="A4954" s="5" t="str">
        <f>HYPERLINK("https://www.oit.va.gov/Services/TRM/ToolPage.aspx?tid=10537^","Groupwise")</f>
        <v>Groupwise</v>
      </c>
      <c r="B4954" s="4" t="s">
        <v>602</v>
      </c>
      <c r="C4954" s="8" t="s">
        <v>5</v>
      </c>
      <c r="D4954" s="11" t="s">
        <v>6672</v>
      </c>
    </row>
    <row r="4955" spans="1:4" ht="30">
      <c r="A4955" s="5" t="str">
        <f>HYPERLINK("https://www.oit.va.gov/Services/TRM/ToolPage.aspx?tid=5562^","Micro Focus Extra! X-treme")</f>
        <v>Micro Focus Extra! X-treme</v>
      </c>
      <c r="B4955" s="4" t="s">
        <v>602</v>
      </c>
      <c r="C4955" s="8" t="s">
        <v>5</v>
      </c>
      <c r="D4955" s="11" t="s">
        <v>6852</v>
      </c>
    </row>
    <row r="4956" spans="1:4" ht="30">
      <c r="A4956" s="5" t="str">
        <f>HYPERLINK("https://www.oit.va.gov/Services/TRM/ToolPage.aspx?tid=15014^","Micro Focus Unified Functional Testing (UFT) Agent")</f>
        <v>Micro Focus Unified Functional Testing (UFT) Agent</v>
      </c>
      <c r="B4956" s="4" t="s">
        <v>602</v>
      </c>
      <c r="C4956" s="8" t="s">
        <v>5</v>
      </c>
      <c r="D4956" s="11" t="s">
        <v>5373</v>
      </c>
    </row>
    <row r="4957" spans="1:4" ht="30">
      <c r="A4957" s="5" t="str">
        <f>HYPERLINK("https://www.oit.va.gov/Services/TRM/ToolPage.aspx?tid=5460^","PlateSpin Migrate")</f>
        <v>PlateSpin Migrate</v>
      </c>
      <c r="B4957" s="4" t="s">
        <v>602</v>
      </c>
      <c r="C4957" s="8" t="s">
        <v>5</v>
      </c>
      <c r="D4957" s="11" t="s">
        <v>105</v>
      </c>
    </row>
    <row r="4958" spans="1:4" ht="30">
      <c r="A4958" s="5" t="str">
        <f>HYPERLINK("https://www.oit.va.gov/Services/TRM/ToolPage.aspx?tid=5461^","PlateSpin Protect")</f>
        <v>PlateSpin Protect</v>
      </c>
      <c r="B4958" s="4" t="s">
        <v>602</v>
      </c>
      <c r="C4958" s="8" t="s">
        <v>5</v>
      </c>
      <c r="D4958" s="11" t="s">
        <v>7008</v>
      </c>
    </row>
    <row r="4959" spans="1:4" ht="30">
      <c r="A4959" s="5" t="str">
        <f>HYPERLINK("https://www.oit.va.gov/Services/TRM/ToolPage.aspx?tid=14911^","Vertica")</f>
        <v>Vertica</v>
      </c>
      <c r="B4959" s="4" t="s">
        <v>602</v>
      </c>
      <c r="C4959" s="8" t="s">
        <v>5</v>
      </c>
      <c r="D4959" s="11" t="s">
        <v>7283</v>
      </c>
    </row>
    <row r="4960" spans="1:4" ht="30">
      <c r="A4960" s="5" t="str">
        <f>HYPERLINK("https://www.oit.va.gov/Services/TRM/ToolPage.aspx?tid=11440^","Micro Key Millennium Series (MKMS) STARK")</f>
        <v>Micro Key Millennium Series (MKMS) STARK</v>
      </c>
      <c r="B4960" s="4" t="s">
        <v>8257</v>
      </c>
      <c r="C4960" s="8" t="s">
        <v>5</v>
      </c>
      <c r="D4960" s="11" t="s">
        <v>8258</v>
      </c>
    </row>
    <row r="4961" spans="1:4" ht="30">
      <c r="A4961" s="5" t="str">
        <f>HYPERLINK("https://www.oit.va.gov/Services/TRM/ToolPage.aspx?tid=6034^","LynxClient")</f>
        <v>LynxClient</v>
      </c>
      <c r="B4961" s="4" t="s">
        <v>1704</v>
      </c>
      <c r="C4961" s="8" t="s">
        <v>5</v>
      </c>
      <c r="D4961" s="11" t="s">
        <v>1705</v>
      </c>
    </row>
    <row r="4962" spans="1:4" ht="30">
      <c r="A4962" s="5" t="str">
        <f>HYPERLINK("https://www.oit.va.gov/Services/TRM/ToolPage.aspx?tid=11663^","LynxGuide Server")</f>
        <v>LynxGuide Server</v>
      </c>
      <c r="B4962" s="4" t="s">
        <v>1704</v>
      </c>
      <c r="C4962" s="8" t="s">
        <v>5</v>
      </c>
      <c r="D4962" s="11" t="s">
        <v>4381</v>
      </c>
    </row>
    <row r="4963" spans="1:4" ht="30">
      <c r="A4963" s="5" t="str">
        <f>HYPERLINK("https://www.oit.va.gov/Services/TRM/ToolPage.aspx?tid=8796^","MPLAB X Integrated Development Environment (IDE)")</f>
        <v>MPLAB X Integrated Development Environment (IDE)</v>
      </c>
      <c r="B4963" s="4" t="s">
        <v>96</v>
      </c>
      <c r="C4963" s="8" t="s">
        <v>5</v>
      </c>
      <c r="D4963" s="11" t="s">
        <v>97</v>
      </c>
    </row>
    <row r="4964" spans="1:4" ht="30">
      <c r="A4964" s="5" t="str">
        <f>HYPERLINK("https://www.oit.va.gov/Services/TRM/ToolPage.aspx?tid=9697^","MicroDICOM Digital Imaging and Communications in Medicine (DICOM) Viewer")</f>
        <v>MicroDICOM Digital Imaging and Communications in Medicine (DICOM) Viewer</v>
      </c>
      <c r="B4964" s="4" t="s">
        <v>2765</v>
      </c>
      <c r="C4964" s="8" t="s">
        <v>5</v>
      </c>
      <c r="D4964" s="11" t="s">
        <v>2766</v>
      </c>
    </row>
    <row r="4965" spans="1:4" ht="30">
      <c r="A4965" s="5" t="str">
        <f>HYPERLINK("https://www.oit.va.gov/Services/TRM/ToolPage.aspx?tid=7045^","Encoder-Plus For XP/Win7")</f>
        <v>Encoder-Plus For XP/Win7</v>
      </c>
      <c r="B4965" s="4" t="s">
        <v>3274</v>
      </c>
      <c r="C4965" s="8" t="s">
        <v>5</v>
      </c>
      <c r="D4965" s="11" t="s">
        <v>3275</v>
      </c>
    </row>
    <row r="4966" spans="1:4" ht="30">
      <c r="A4966" s="5" t="str">
        <f>HYPERLINK("https://www.oit.va.gov/Services/TRM/ToolPage.aspx?tid=8191^","MedGem Analyzer")</f>
        <v>MedGem Analyzer</v>
      </c>
      <c r="B4966" s="4" t="s">
        <v>6838</v>
      </c>
      <c r="C4966" s="8" t="s">
        <v>5</v>
      </c>
      <c r="D4966" s="11" t="s">
        <v>4442</v>
      </c>
    </row>
    <row r="4967" spans="1:4" ht="30">
      <c r="A4967" s="5" t="str">
        <f>HYPERLINK("https://www.oit.va.gov/Services/TRM/ToolPage.aspx?tid=16195^","Microsoft .NET Desktop Runtime")</f>
        <v>Microsoft .NET Desktop Runtime</v>
      </c>
      <c r="B4967" s="4" t="s">
        <v>11</v>
      </c>
      <c r="C4967" s="8" t="s">
        <v>5</v>
      </c>
      <c r="D4967" s="11" t="s">
        <v>12</v>
      </c>
    </row>
    <row r="4968" spans="1:4" ht="30">
      <c r="A4968" s="5" t="str">
        <f>HYPERLINK("https://www.oit.va.gov/Services/TRM/ToolPage.aspx?tid=12854^","Microsoft Azure Tools for Microsoft Visual Studio")</f>
        <v>Microsoft Azure Tools for Microsoft Visual Studio</v>
      </c>
      <c r="B4968" s="4" t="s">
        <v>11</v>
      </c>
      <c r="C4968" s="8" t="s">
        <v>5</v>
      </c>
      <c r="D4968" s="11" t="s">
        <v>17</v>
      </c>
    </row>
    <row r="4969" spans="1:4" ht="30">
      <c r="A4969" s="5" t="str">
        <f>HYPERLINK("https://www.oit.va.gov/Services/TRM/ToolPage.aspx?tid=10008^","Microsoft .NET")</f>
        <v>Microsoft .NET</v>
      </c>
      <c r="B4969" s="4" t="s">
        <v>11</v>
      </c>
      <c r="C4969" s="8" t="s">
        <v>5</v>
      </c>
      <c r="D4969" s="11" t="s">
        <v>24</v>
      </c>
    </row>
    <row r="4970" spans="1:4" ht="30">
      <c r="A4970" s="5" t="str">
        <f>HYPERLINK("https://www.oit.va.gov/Services/TRM/ToolPage.aspx?tid=7874^","Active Server Pages (ASP).NET Core")</f>
        <v>Active Server Pages (ASP).NET Core</v>
      </c>
      <c r="B4970" s="4" t="s">
        <v>11</v>
      </c>
      <c r="C4970" s="8" t="s">
        <v>5</v>
      </c>
      <c r="D4970" s="11" t="s">
        <v>27</v>
      </c>
    </row>
    <row r="4971" spans="1:4" ht="30">
      <c r="A4971" s="5" t="str">
        <f>HYPERLINK("https://www.oit.va.gov/Services/TRM/ToolPage.aspx?tid=5654^","Microsoft .NET Framework")</f>
        <v>Microsoft .NET Framework</v>
      </c>
      <c r="B4971" s="4" t="s">
        <v>11</v>
      </c>
      <c r="C4971" s="8" t="s">
        <v>5</v>
      </c>
      <c r="D4971" s="11" t="s">
        <v>35</v>
      </c>
    </row>
    <row r="4972" spans="1:4" ht="30">
      <c r="A4972" s="5" t="str">
        <f>HYPERLINK("https://www.oit.va.gov/Services/TRM/ToolPage.aspx?tid=6571^","Microsoft Entity Framework (EF)")</f>
        <v>Microsoft Entity Framework (EF)</v>
      </c>
      <c r="B4972" s="4" t="s">
        <v>11</v>
      </c>
      <c r="C4972" s="8" t="s">
        <v>5</v>
      </c>
      <c r="D4972" s="11" t="s">
        <v>36</v>
      </c>
    </row>
    <row r="4973" spans="1:4" ht="30">
      <c r="A4973" s="5" t="str">
        <f>HYPERLINK("https://www.oit.va.gov/Services/TRM/ToolPage.aspx?tid=14253^","Microsoft.CrmSdk.CoreTools")</f>
        <v>Microsoft.CrmSdk.CoreTools</v>
      </c>
      <c r="B4973" s="4" t="s">
        <v>11</v>
      </c>
      <c r="C4973" s="8" t="s">
        <v>5</v>
      </c>
      <c r="D4973" s="11" t="s">
        <v>37</v>
      </c>
    </row>
    <row r="4974" spans="1:4" ht="30">
      <c r="A4974" s="5" t="str">
        <f>HYPERLINK("https://www.oit.va.gov/Services/TRM/ToolPage.aspx?tid=15797^","Active Server Pages (ASP) .NET Model-View-Controller (MVC)")</f>
        <v>Active Server Pages (ASP) .NET Model-View-Controller (MVC)</v>
      </c>
      <c r="B4974" s="4" t="s">
        <v>11</v>
      </c>
      <c r="C4974" s="8" t="s">
        <v>5</v>
      </c>
      <c r="D4974" s="11" t="s">
        <v>64</v>
      </c>
    </row>
    <row r="4975" spans="1:4" ht="30">
      <c r="A4975" s="5" t="str">
        <f>HYPERLINK("https://www.oit.va.gov/Services/TRM/ToolPage.aspx?tid=15969^","Active Server Pages (ASP) .NET Core Blazor")</f>
        <v>Active Server Pages (ASP) .NET Core Blazor</v>
      </c>
      <c r="B4975" s="4" t="s">
        <v>11</v>
      </c>
      <c r="C4975" s="8" t="s">
        <v>5</v>
      </c>
      <c r="D4975" s="11" t="s">
        <v>67</v>
      </c>
    </row>
    <row r="4976" spans="1:4" ht="30">
      <c r="A4976" s="5" t="str">
        <f>HYPERLINK("https://www.oit.va.gov/Services/TRM/ToolPage.aspx?tid=11328^","Application Insights for Node.js")</f>
        <v>Application Insights for Node.js</v>
      </c>
      <c r="B4976" s="4" t="s">
        <v>11</v>
      </c>
      <c r="C4976" s="8" t="s">
        <v>5</v>
      </c>
      <c r="D4976" s="11" t="s">
        <v>70</v>
      </c>
    </row>
    <row r="4977" spans="1:4" ht="30">
      <c r="A4977" s="5" t="str">
        <f>HYPERLINK("https://www.oit.va.gov/Services/TRM/ToolPage.aspx?tid=15883^","Bot Framework Software Development Kit (SDK) for JavaScript")</f>
        <v>Bot Framework Software Development Kit (SDK) for JavaScript</v>
      </c>
      <c r="B4977" s="4" t="s">
        <v>11</v>
      </c>
      <c r="C4977" s="8" t="s">
        <v>5</v>
      </c>
      <c r="D4977" s="11" t="s">
        <v>125</v>
      </c>
    </row>
    <row r="4978" spans="1:4" ht="30">
      <c r="A4978" s="5" t="str">
        <f>HYPERLINK("https://www.oit.va.gov/Services/TRM/ToolPage.aspx?tid=16384^","Microsoft Edge.")</f>
        <v>Microsoft Edge.</v>
      </c>
      <c r="B4978" s="4" t="s">
        <v>11</v>
      </c>
      <c r="C4978" s="8" t="s">
        <v>5</v>
      </c>
      <c r="D4978" s="11" t="s">
        <v>143</v>
      </c>
    </row>
    <row r="4979" spans="1:4" ht="30">
      <c r="A4979" s="5" t="str">
        <f>HYPERLINK("https://www.oit.va.gov/Services/TRM/ToolPage.aspx?tid=5670^","Microsoft Visual Studio")</f>
        <v>Microsoft Visual Studio</v>
      </c>
      <c r="B4979" s="4" t="s">
        <v>11</v>
      </c>
      <c r="C4979" s="8" t="s">
        <v>5</v>
      </c>
      <c r="D4979" s="11" t="s">
        <v>311</v>
      </c>
    </row>
    <row r="4980" spans="1:4" ht="30">
      <c r="A4980" s="5" t="str">
        <f>HYPERLINK("https://www.oit.va.gov/Services/TRM/ToolPage.aspx?tid=11326^","Windows Cache Extension for PHP")</f>
        <v>Windows Cache Extension for PHP</v>
      </c>
      <c r="B4980" s="4" t="s">
        <v>11</v>
      </c>
      <c r="C4980" s="8" t="s">
        <v>5</v>
      </c>
      <c r="D4980" s="11" t="s">
        <v>341</v>
      </c>
    </row>
    <row r="4981" spans="1:4" ht="30">
      <c r="A4981" s="5" t="str">
        <f>HYPERLINK("https://www.oit.va.gov/Services/TRM/ToolPage.aspx?tid=7994^","Mono")</f>
        <v>Mono</v>
      </c>
      <c r="B4981" s="4" t="s">
        <v>11</v>
      </c>
      <c r="C4981" s="8" t="s">
        <v>5</v>
      </c>
      <c r="D4981" s="11" t="s">
        <v>66</v>
      </c>
    </row>
    <row r="4982" spans="1:4" ht="30">
      <c r="A4982" s="5" t="str">
        <f>HYPERLINK("https://www.oit.va.gov/Services/TRM/ToolPage.aspx?tid=10041^","Visual Studio 2010 Tools for Office Runtime")</f>
        <v>Visual Studio 2010 Tools for Office Runtime</v>
      </c>
      <c r="B4982" s="4" t="s">
        <v>11</v>
      </c>
      <c r="C4982" s="8" t="s">
        <v>5</v>
      </c>
      <c r="D4982" s="11" t="s">
        <v>360</v>
      </c>
    </row>
    <row r="4983" spans="1:4" ht="30">
      <c r="A4983" s="5" t="str">
        <f>HYPERLINK("https://www.oit.va.gov/Services/TRM/ToolPage.aspx?tid=6604^","Active Server Pages (ASP) .NET Core Model-View-Controller (MVC)")</f>
        <v>Active Server Pages (ASP) .NET Core Model-View-Controller (MVC)</v>
      </c>
      <c r="B4983" s="4" t="s">
        <v>11</v>
      </c>
      <c r="C4983" s="8" t="s">
        <v>5</v>
      </c>
      <c r="D4983" s="11" t="s">
        <v>548</v>
      </c>
    </row>
    <row r="4984" spans="1:4" ht="30">
      <c r="A4984" s="5" t="str">
        <f>HYPERLINK("https://www.oit.va.gov/Services/TRM/ToolPage.aspx?tid=10423^","Debugging Tools for Windows (WinDbg)")</f>
        <v>Debugging Tools for Windows (WinDbg)</v>
      </c>
      <c r="B4984" s="4" t="s">
        <v>11</v>
      </c>
      <c r="C4984" s="8" t="s">
        <v>5</v>
      </c>
      <c r="D4984" s="11" t="s">
        <v>641</v>
      </c>
    </row>
    <row r="4985" spans="1:4" ht="30">
      <c r="A4985" s="5" t="str">
        <f>HYPERLINK("https://www.oit.va.gov/Services/TRM/ToolPage.aspx?tid=11808^","DocumentFormat.OpenXml (Extensible Markup Language)")</f>
        <v>DocumentFormat.OpenXml (Extensible Markup Language)</v>
      </c>
      <c r="B4985" s="4" t="s">
        <v>11</v>
      </c>
      <c r="C4985" s="8" t="s">
        <v>5</v>
      </c>
      <c r="D4985" s="11" t="s">
        <v>654</v>
      </c>
    </row>
    <row r="4986" spans="1:4" ht="30">
      <c r="A4986" s="5" t="str">
        <f>HYPERLINK("https://www.oit.va.gov/Services/TRM/ToolPage.aspx?tid=12807^","Microsoft Azure Storage Software Development Kit (SDK) for Node.js")</f>
        <v>Microsoft Azure Storage Software Development Kit (SDK) for Node.js</v>
      </c>
      <c r="B4986" s="4" t="s">
        <v>11</v>
      </c>
      <c r="C4986" s="8" t="s">
        <v>5</v>
      </c>
      <c r="D4986" s="11" t="s">
        <v>759</v>
      </c>
    </row>
    <row r="4987" spans="1:4" ht="30">
      <c r="A4987" s="5" t="str">
        <f>HYPERLINK("https://www.oit.va.gov/Services/TRM/ToolPage.aspx?tid=9231^","Microsoft R Open")</f>
        <v>Microsoft R Open</v>
      </c>
      <c r="B4987" s="4" t="s">
        <v>11</v>
      </c>
      <c r="C4987" s="8" t="s">
        <v>5</v>
      </c>
      <c r="D4987" s="11" t="s">
        <v>760</v>
      </c>
    </row>
    <row r="4988" spans="1:4" ht="30">
      <c r="A4988" s="5" t="str">
        <f>HYPERLINK("https://www.oit.va.gov/Services/TRM/ToolPage.aspx?tid=10889^","PsTools")</f>
        <v>PsTools</v>
      </c>
      <c r="B4988" s="4" t="s">
        <v>11</v>
      </c>
      <c r="C4988" s="8" t="s">
        <v>5</v>
      </c>
      <c r="D4988" s="11" t="s">
        <v>816</v>
      </c>
    </row>
    <row r="4989" spans="1:4" ht="30">
      <c r="A4989" s="5" t="str">
        <f>HYPERLINK("https://www.oit.va.gov/Services/TRM/ToolPage.aspx?tid=13286^","SignalR")</f>
        <v>SignalR</v>
      </c>
      <c r="B4989" s="4" t="s">
        <v>11</v>
      </c>
      <c r="C4989" s="8" t="s">
        <v>5</v>
      </c>
      <c r="D4989" s="11" t="s">
        <v>848</v>
      </c>
    </row>
    <row r="4990" spans="1:4" ht="30">
      <c r="A4990" s="5" t="str">
        <f>HYPERLINK("https://www.oit.va.gov/Services/TRM/ToolPage.aspx?tid=10575^","Structured Query Language (SQL) Server Management Studio (SSMS)")</f>
        <v>Structured Query Language (SQL) Server Management Studio (SSMS)</v>
      </c>
      <c r="B4990" s="4" t="s">
        <v>11</v>
      </c>
      <c r="C4990" s="8" t="s">
        <v>5</v>
      </c>
      <c r="D4990" s="11" t="s">
        <v>868</v>
      </c>
    </row>
    <row r="4991" spans="1:4" ht="30">
      <c r="A4991" s="5" t="str">
        <f>HYPERLINK("https://www.oit.va.gov/Services/TRM/ToolPage.aspx?tid=8371^","Visual Studio (VS) Code")</f>
        <v>Visual Studio (VS) Code</v>
      </c>
      <c r="B4991" s="4" t="s">
        <v>11</v>
      </c>
      <c r="C4991" s="8" t="s">
        <v>5</v>
      </c>
      <c r="D4991" s="11" t="s">
        <v>893</v>
      </c>
    </row>
    <row r="4992" spans="1:4" ht="30">
      <c r="A4992" s="5" t="str">
        <f>HYPERLINK("https://www.oit.va.gov/Services/TRM/ToolPage.aspx?tid=14312^","Microsoft Dynamics 365 SDK Core Tools")</f>
        <v>Microsoft Dynamics 365 SDK Core Tools</v>
      </c>
      <c r="B4992" s="4" t="s">
        <v>11</v>
      </c>
      <c r="C4992" s="8" t="s">
        <v>5</v>
      </c>
      <c r="D4992" s="11" t="s">
        <v>1043</v>
      </c>
    </row>
    <row r="4993" spans="1:4" ht="30">
      <c r="A4993" s="5" t="str">
        <f>HYPERLINK("https://www.oit.va.gov/Services/TRM/ToolPage.aspx?tid=10268^","Windows Communication Foundation (WCF) Data Services")</f>
        <v>Windows Communication Foundation (WCF) Data Services</v>
      </c>
      <c r="B4993" s="4" t="s">
        <v>11</v>
      </c>
      <c r="C4993" s="8" t="s">
        <v>5</v>
      </c>
      <c r="D4993" s="11" t="s">
        <v>1128</v>
      </c>
    </row>
    <row r="4994" spans="1:4" ht="30">
      <c r="A4994" s="5" t="str">
        <f>HYPERLINK("https://www.oit.va.gov/Services/TRM/ToolPage.aspx?tid=9604^","Application Request Routing (ARR)")</f>
        <v>Application Request Routing (ARR)</v>
      </c>
      <c r="B4994" s="4" t="s">
        <v>11</v>
      </c>
      <c r="C4994" s="8" t="s">
        <v>5</v>
      </c>
      <c r="D4994" s="11" t="s">
        <v>1309</v>
      </c>
    </row>
    <row r="4995" spans="1:4" ht="30">
      <c r="A4995" s="5" t="str">
        <f>HYPERLINK("https://www.oit.va.gov/Services/TRM/ToolPage.aspx?tid=5668^","Azure DevOps Server")</f>
        <v>Azure DevOps Server</v>
      </c>
      <c r="B4995" s="4" t="s">
        <v>11</v>
      </c>
      <c r="C4995" s="8" t="s">
        <v>5</v>
      </c>
      <c r="D4995" s="11" t="s">
        <v>1344</v>
      </c>
    </row>
    <row r="4996" spans="1:4" ht="30">
      <c r="A4996" s="5" t="str">
        <f>HYPERLINK("https://www.oit.va.gov/Services/TRM/ToolPage.aspx?tid=16341^","Azure Functions Core Tools")</f>
        <v>Azure Functions Core Tools</v>
      </c>
      <c r="B4996" s="4" t="s">
        <v>11</v>
      </c>
      <c r="C4996" s="8" t="s">
        <v>5</v>
      </c>
      <c r="D4996" s="11" t="s">
        <v>1345</v>
      </c>
    </row>
    <row r="4997" spans="1:4" ht="30">
      <c r="A4997" s="5" t="str">
        <f>HYPERLINK("https://www.oit.va.gov/Services/TRM/ToolPage.aspx?tid=5105^","Bing Maps Application Program Interface (API)")</f>
        <v>Bing Maps Application Program Interface (API)</v>
      </c>
      <c r="B4997" s="4" t="s">
        <v>11</v>
      </c>
      <c r="C4997" s="8" t="s">
        <v>5</v>
      </c>
      <c r="D4997" s="11" t="s">
        <v>1360</v>
      </c>
    </row>
    <row r="4998" spans="1:4" ht="30">
      <c r="A4998" s="5" t="str">
        <f>HYPERLINK("https://www.oit.va.gov/Services/TRM/ToolPage.aspx?tid=14059^","Microsoft Azure Cosmos Database Node.js Software Development Kit (SDK)")</f>
        <v>Microsoft Azure Cosmos Database Node.js Software Development Kit (SDK)</v>
      </c>
      <c r="B4998" s="4" t="s">
        <v>11</v>
      </c>
      <c r="C4998" s="8" t="s">
        <v>5</v>
      </c>
      <c r="D4998" s="11" t="s">
        <v>1731</v>
      </c>
    </row>
    <row r="4999" spans="1:4" ht="30">
      <c r="A4999" s="5" t="str">
        <f>HYPERLINK("https://www.oit.va.gov/Services/TRM/ToolPage.aspx?tid=15717^","Microsoft Bot Framework Composer")</f>
        <v>Microsoft Bot Framework Composer</v>
      </c>
      <c r="B4999" s="4" t="s">
        <v>11</v>
      </c>
      <c r="C4999" s="8" t="s">
        <v>5</v>
      </c>
      <c r="D4999" s="11" t="s">
        <v>1732</v>
      </c>
    </row>
    <row r="5000" spans="1:4" ht="30">
      <c r="A5000" s="5" t="str">
        <f>HYPERLINK("https://www.oit.va.gov/Services/TRM/ToolPage.aspx?tid=6271^","Microsoft Dynamics 365")</f>
        <v>Microsoft Dynamics 365</v>
      </c>
      <c r="B5000" s="4" t="s">
        <v>11</v>
      </c>
      <c r="C5000" s="8" t="s">
        <v>5</v>
      </c>
      <c r="D5000" s="11" t="s">
        <v>1733</v>
      </c>
    </row>
    <row r="5001" spans="1:4" ht="30">
      <c r="A5001" s="5" t="str">
        <f>HYPERLINK("https://www.oit.va.gov/Services/TRM/ToolPage.aspx?tid=6527^","Microsoft Endpoint Configuration Manager")</f>
        <v>Microsoft Endpoint Configuration Manager</v>
      </c>
      <c r="B5001" s="4" t="s">
        <v>11</v>
      </c>
      <c r="C5001" s="8" t="s">
        <v>5</v>
      </c>
      <c r="D5001" s="11" t="s">
        <v>1293</v>
      </c>
    </row>
    <row r="5002" spans="1:4" ht="30">
      <c r="A5002" s="5" t="str">
        <f>HYPERLINK("https://www.oit.va.gov/Services/TRM/ToolPage.aspx?tid=12808^","Microsoft Graph")</f>
        <v>Microsoft Graph</v>
      </c>
      <c r="B5002" s="4" t="s">
        <v>11</v>
      </c>
      <c r="C5002" s="8" t="s">
        <v>5</v>
      </c>
      <c r="D5002" s="11" t="s">
        <v>854</v>
      </c>
    </row>
    <row r="5003" spans="1:4" ht="30">
      <c r="A5003" s="5" t="str">
        <f>HYPERLINK("https://www.oit.va.gov/Services/TRM/ToolPage.aspx?tid=5629^","Microsoft InfoPath")</f>
        <v>Microsoft InfoPath</v>
      </c>
      <c r="B5003" s="4" t="s">
        <v>11</v>
      </c>
      <c r="C5003" s="8" t="s">
        <v>5</v>
      </c>
      <c r="D5003" s="11" t="s">
        <v>1734</v>
      </c>
    </row>
    <row r="5004" spans="1:4" ht="30">
      <c r="A5004" s="5" t="str">
        <f>HYPERLINK("https://www.oit.va.gov/Services/TRM/ToolPage.aspx?tid=5684^","Microsoft Outlook")</f>
        <v>Microsoft Outlook</v>
      </c>
      <c r="B5004" s="4" t="s">
        <v>11</v>
      </c>
      <c r="C5004" s="8" t="s">
        <v>5</v>
      </c>
      <c r="D5004" s="11" t="s">
        <v>565</v>
      </c>
    </row>
    <row r="5005" spans="1:4" ht="30">
      <c r="A5005" s="5" t="str">
        <f>HYPERLINK("https://www.oit.va.gov/Services/TRM/ToolPage.aspx?tid=5020^","Microsoft Structured Query Language (SQL) Server")</f>
        <v>Microsoft Structured Query Language (SQL) Server</v>
      </c>
      <c r="B5005" s="4" t="s">
        <v>11</v>
      </c>
      <c r="C5005" s="8" t="s">
        <v>5</v>
      </c>
      <c r="D5005" s="11" t="s">
        <v>1735</v>
      </c>
    </row>
    <row r="5006" spans="1:4" ht="30">
      <c r="A5006" s="5" t="str">
        <f>HYPERLINK("https://www.oit.va.gov/Services/TRM/ToolPage.aspx?tid=9305^","Microsoft Structured Query Language (SQL) Server Data Tools (SSDT) for Visual Studio")</f>
        <v>Microsoft Structured Query Language (SQL) Server Data Tools (SSDT) for Visual Studio</v>
      </c>
      <c r="B5006" s="4" t="s">
        <v>11</v>
      </c>
      <c r="C5006" s="8" t="s">
        <v>5</v>
      </c>
      <c r="D5006" s="11" t="s">
        <v>1736</v>
      </c>
    </row>
    <row r="5007" spans="1:4" ht="30">
      <c r="A5007" s="5" t="str">
        <f>HYPERLINK("https://www.oit.va.gov/Services/TRM/ToolPage.aspx?tid=16324^","Microsoft Structured Query Language (SQL) Server Integration Services (SSIS) Feature Pack for Azure")</f>
        <v>Microsoft Structured Query Language (SQL) Server Integration Services (SSIS) Feature Pack for Azure</v>
      </c>
      <c r="B5007" s="4" t="s">
        <v>11</v>
      </c>
      <c r="C5007" s="8" t="s">
        <v>5</v>
      </c>
      <c r="D5007" s="11" t="s">
        <v>1737</v>
      </c>
    </row>
    <row r="5008" spans="1:4" ht="30">
      <c r="A5008" s="5" t="str">
        <f>HYPERLINK("https://www.oit.va.gov/Services/TRM/ToolPage.aspx?tid=5747^","Microsoft Visio Viewer")</f>
        <v>Microsoft Visio Viewer</v>
      </c>
      <c r="B5008" s="4" t="s">
        <v>11</v>
      </c>
      <c r="C5008" s="8" t="s">
        <v>5</v>
      </c>
      <c r="D5008" s="11" t="s">
        <v>1738</v>
      </c>
    </row>
    <row r="5009" spans="1:4" ht="30">
      <c r="A5009" s="5" t="str">
        <f>HYPERLINK("https://www.oit.va.gov/Services/TRM/ToolPage.aspx?tid=13103^","Microsoft Viva Insights")</f>
        <v>Microsoft Viva Insights</v>
      </c>
      <c r="B5009" s="4" t="s">
        <v>11</v>
      </c>
      <c r="C5009" s="8" t="s">
        <v>5</v>
      </c>
      <c r="D5009" s="11" t="s">
        <v>1725</v>
      </c>
    </row>
    <row r="5010" spans="1:4" ht="30">
      <c r="A5010" s="5" t="str">
        <f>HYPERLINK("https://www.oit.va.gov/Services/TRM/ToolPage.aspx?tid=5783^","Microsoft Word")</f>
        <v>Microsoft Word</v>
      </c>
      <c r="B5010" s="4" t="s">
        <v>11</v>
      </c>
      <c r="C5010" s="8" t="s">
        <v>5</v>
      </c>
      <c r="D5010" s="11" t="s">
        <v>1739</v>
      </c>
    </row>
    <row r="5011" spans="1:4" ht="30">
      <c r="A5011" s="5" t="str">
        <f>HYPERLINK("https://www.oit.va.gov/Services/TRM/ToolPage.aspx?tid=31^","Windows Client")</f>
        <v>Windows Client</v>
      </c>
      <c r="B5011" s="4" t="s">
        <v>11</v>
      </c>
      <c r="C5011" s="8" t="s">
        <v>5</v>
      </c>
      <c r="D5011" s="11" t="s">
        <v>553</v>
      </c>
    </row>
    <row r="5012" spans="1:4" ht="30">
      <c r="A5012" s="5" t="str">
        <f>HYPERLINK("https://www.oit.va.gov/Services/TRM/ToolPage.aspx?tid=35^","Windows Server")</f>
        <v>Windows Server</v>
      </c>
      <c r="B5012" s="4" t="s">
        <v>11</v>
      </c>
      <c r="C5012" s="8" t="s">
        <v>5</v>
      </c>
      <c r="D5012" s="11" t="s">
        <v>1429</v>
      </c>
    </row>
    <row r="5013" spans="1:4" ht="30">
      <c r="A5013" s="5" t="str">
        <f>HYPERLINK("https://www.oit.va.gov/Services/TRM/ToolPage.aspx?tid=9069^","Microsoft Calendar Printing Assistant")</f>
        <v>Microsoft Calendar Printing Assistant</v>
      </c>
      <c r="B5013" s="4" t="s">
        <v>11</v>
      </c>
      <c r="C5013" s="8" t="s">
        <v>5</v>
      </c>
      <c r="D5013" s="11" t="s">
        <v>2156</v>
      </c>
    </row>
    <row r="5014" spans="1:4" ht="30">
      <c r="A5014" s="5" t="str">
        <f>HYPERLINK("https://www.oit.va.gov/Services/TRM/ToolPage.aspx?tid=6328^","Microsoft Debug Diagnostic Tool")</f>
        <v>Microsoft Debug Diagnostic Tool</v>
      </c>
      <c r="B5014" s="4" t="s">
        <v>11</v>
      </c>
      <c r="C5014" s="8" t="s">
        <v>5</v>
      </c>
      <c r="D5014" s="11" t="s">
        <v>1723</v>
      </c>
    </row>
    <row r="5015" spans="1:4" ht="30">
      <c r="A5015" s="5" t="str">
        <f>HYPERLINK("https://www.oit.va.gov/Services/TRM/ToolPage.aspx?tid=10157^","Microsoft Power Query for Microsoft Excel")</f>
        <v>Microsoft Power Query for Microsoft Excel</v>
      </c>
      <c r="B5015" s="4" t="s">
        <v>11</v>
      </c>
      <c r="C5015" s="8" t="s">
        <v>5</v>
      </c>
      <c r="D5015" s="11" t="s">
        <v>2157</v>
      </c>
    </row>
    <row r="5016" spans="1:4" ht="30">
      <c r="A5016" s="5" t="str">
        <f>HYPERLINK("https://www.oit.va.gov/Services/TRM/ToolPage.aspx?tid=7320^","Skype for Business")</f>
        <v>Skype for Business</v>
      </c>
      <c r="B5016" s="4" t="s">
        <v>11</v>
      </c>
      <c r="C5016" s="8" t="s">
        <v>5</v>
      </c>
      <c r="D5016" s="11" t="s">
        <v>2186</v>
      </c>
    </row>
    <row r="5017" spans="1:4" ht="30">
      <c r="A5017" s="5" t="str">
        <f>HYPERLINK("https://www.oit.va.gov/Services/TRM/ToolPage.aspx?tid=5669^","Visual SourceSafe (VSS)")</f>
        <v>Visual SourceSafe (VSS)</v>
      </c>
      <c r="B5017" s="4" t="s">
        <v>11</v>
      </c>
      <c r="C5017" s="8" t="s">
        <v>5</v>
      </c>
      <c r="D5017" s="11" t="s">
        <v>2198</v>
      </c>
    </row>
    <row r="5018" spans="1:4" ht="30">
      <c r="A5018" s="5" t="str">
        <f>HYPERLINK("https://www.oit.va.gov/Services/TRM/ToolPage.aspx?tid=13915^","Azure Cosmos Database (DB) Open Database Connectivity (ODBC) Driver")</f>
        <v>Azure Cosmos Database (DB) Open Database Connectivity (ODBC) Driver</v>
      </c>
      <c r="B5018" s="4" t="s">
        <v>11</v>
      </c>
      <c r="C5018" s="8" t="s">
        <v>5</v>
      </c>
      <c r="D5018" s="11" t="s">
        <v>2403</v>
      </c>
    </row>
    <row r="5019" spans="1:4" ht="30">
      <c r="A5019" s="5" t="str">
        <f>HYPERLINK("https://www.oit.va.gov/Services/TRM/ToolPage.aspx?tid=8025^","Business Intelligence (BI) Developer Extensions")</f>
        <v>Business Intelligence (BI) Developer Extensions</v>
      </c>
      <c r="B5019" s="4" t="s">
        <v>11</v>
      </c>
      <c r="C5019" s="8" t="s">
        <v>5</v>
      </c>
      <c r="D5019" s="11" t="s">
        <v>2427</v>
      </c>
    </row>
    <row r="5020" spans="1:4" ht="30">
      <c r="A5020" s="5" t="str">
        <f>HYPERLINK("https://www.oit.va.gov/Services/TRM/ToolPage.aspx?tid=10366^","Chart Controls for Microsoft .NET Framework 3.5")</f>
        <v>Chart Controls for Microsoft .NET Framework 3.5</v>
      </c>
      <c r="B5020" s="4" t="s">
        <v>11</v>
      </c>
      <c r="C5020" s="8" t="s">
        <v>5</v>
      </c>
      <c r="D5020" s="11" t="s">
        <v>2453</v>
      </c>
    </row>
    <row r="5021" spans="1:4" ht="30">
      <c r="A5021" s="5" t="str">
        <f>HYPERLINK("https://www.oit.va.gov/Services/TRM/ToolPage.aspx?tid=10972^","Kerberos Configuration Manager for Structured Query Language (SQL) Server")</f>
        <v>Kerberos Configuration Manager for Structured Query Language (SQL) Server</v>
      </c>
      <c r="B5021" s="4" t="s">
        <v>11</v>
      </c>
      <c r="C5021" s="8" t="s">
        <v>5</v>
      </c>
      <c r="D5021" s="11" t="s">
        <v>670</v>
      </c>
    </row>
    <row r="5022" spans="1:4" ht="30">
      <c r="A5022" s="5" t="str">
        <f>HYPERLINK("https://www.oit.va.gov/Services/TRM/ToolPage.aspx?tid=16045^","Machine Learning (ML).NET")</f>
        <v>Machine Learning (ML).NET</v>
      </c>
      <c r="B5022" s="4" t="s">
        <v>11</v>
      </c>
      <c r="C5022" s="8" t="s">
        <v>5</v>
      </c>
      <c r="D5022" s="11" t="s">
        <v>242</v>
      </c>
    </row>
    <row r="5023" spans="1:4" ht="30">
      <c r="A5023" s="5" t="str">
        <f>HYPERLINK("https://www.oit.va.gov/Services/TRM/ToolPage.aspx?tid=5653^","Microsoft .NET Compact Framework")</f>
        <v>Microsoft .NET Compact Framework</v>
      </c>
      <c r="B5023" s="4" t="s">
        <v>11</v>
      </c>
      <c r="C5023" s="8" t="s">
        <v>5</v>
      </c>
      <c r="D5023" s="11" t="s">
        <v>2767</v>
      </c>
    </row>
    <row r="5024" spans="1:4" ht="30">
      <c r="A5024" s="5" t="str">
        <f>HYPERLINK("https://www.oit.va.gov/Services/TRM/ToolPage.aspx?tid=5529^","Microsoft Access")</f>
        <v>Microsoft Access</v>
      </c>
      <c r="B5024" s="4" t="s">
        <v>11</v>
      </c>
      <c r="C5024" s="8" t="s">
        <v>5</v>
      </c>
      <c r="D5024" s="11" t="s">
        <v>2768</v>
      </c>
    </row>
    <row r="5025" spans="1:4" ht="30">
      <c r="A5025" s="5" t="str">
        <f>HYPERLINK("https://www.oit.va.gov/Services/TRM/ToolPage.aspx?tid=14209^","Microsoft Bot Framework Software Development Kit (SDK)")</f>
        <v>Microsoft Bot Framework Software Development Kit (SDK)</v>
      </c>
      <c r="B5025" s="4" t="s">
        <v>11</v>
      </c>
      <c r="C5025" s="8" t="s">
        <v>5</v>
      </c>
      <c r="D5025" s="11" t="s">
        <v>2769</v>
      </c>
    </row>
    <row r="5026" spans="1:4" ht="30">
      <c r="A5026" s="5" t="str">
        <f>HYPERLINK("https://www.oit.va.gov/Services/TRM/ToolPage.aspx?tid=14954^","Microsoft Core Fonts")</f>
        <v>Microsoft Core Fonts</v>
      </c>
      <c r="B5026" s="4" t="s">
        <v>11</v>
      </c>
      <c r="C5026" s="8" t="s">
        <v>5</v>
      </c>
      <c r="D5026" s="11" t="s">
        <v>2158</v>
      </c>
    </row>
    <row r="5027" spans="1:4" ht="30">
      <c r="A5027" s="5" t="str">
        <f>HYPERLINK("https://www.oit.va.gov/Services/TRM/ToolPage.aspx?tid=15744^","Microsoft Identity Manager (MIM)")</f>
        <v>Microsoft Identity Manager (MIM)</v>
      </c>
      <c r="B5027" s="4" t="s">
        <v>11</v>
      </c>
      <c r="C5027" s="8" t="s">
        <v>5</v>
      </c>
      <c r="D5027" s="11" t="s">
        <v>2770</v>
      </c>
    </row>
    <row r="5028" spans="1:4" ht="30">
      <c r="A5028" s="5" t="str">
        <f>HYPERLINK("https://www.oit.va.gov/Services/TRM/ToolPage.aspx?tid=5682^","Microsoft OneNote")</f>
        <v>Microsoft OneNote</v>
      </c>
      <c r="B5028" s="4" t="s">
        <v>11</v>
      </c>
      <c r="C5028" s="8" t="s">
        <v>5</v>
      </c>
      <c r="D5028" s="11" t="s">
        <v>2771</v>
      </c>
    </row>
    <row r="5029" spans="1:4" ht="30">
      <c r="A5029" s="5" t="str">
        <f>HYPERLINK("https://www.oit.va.gov/Services/TRM/ToolPage.aspx?tid=15431^","Microsoft Power Automate Desktop")</f>
        <v>Microsoft Power Automate Desktop</v>
      </c>
      <c r="B5029" s="4" t="s">
        <v>11</v>
      </c>
      <c r="C5029" s="8" t="s">
        <v>5</v>
      </c>
      <c r="D5029" s="11" t="s">
        <v>1285</v>
      </c>
    </row>
    <row r="5030" spans="1:4" ht="30">
      <c r="A5030" s="5" t="str">
        <f>HYPERLINK("https://www.oit.va.gov/Services/TRM/ToolPage.aspx?tid=9713^","Microsoft Power Business Intelligence (BI)")</f>
        <v>Microsoft Power Business Intelligence (BI)</v>
      </c>
      <c r="B5030" s="4" t="s">
        <v>11</v>
      </c>
      <c r="C5030" s="8" t="s">
        <v>5</v>
      </c>
      <c r="D5030" s="11" t="s">
        <v>2772</v>
      </c>
    </row>
    <row r="5031" spans="1:4" ht="30">
      <c r="A5031" s="5" t="str">
        <f>HYPERLINK("https://www.oit.va.gov/Services/TRM/ToolPage.aspx?tid=5695^","Microsoft PowerPoint")</f>
        <v>Microsoft PowerPoint</v>
      </c>
      <c r="B5031" s="4" t="s">
        <v>11</v>
      </c>
      <c r="C5031" s="8" t="s">
        <v>5</v>
      </c>
      <c r="D5031" s="11" t="s">
        <v>2773</v>
      </c>
    </row>
    <row r="5032" spans="1:4" ht="30">
      <c r="A5032" s="5" t="str">
        <f>HYPERLINK("https://www.oit.va.gov/Services/TRM/ToolPage.aspx?tid=5663^","Microsoft Publisher")</f>
        <v>Microsoft Publisher</v>
      </c>
      <c r="B5032" s="4" t="s">
        <v>11</v>
      </c>
      <c r="C5032" s="8" t="s">
        <v>5</v>
      </c>
      <c r="D5032" s="11" t="s">
        <v>2774</v>
      </c>
    </row>
    <row r="5033" spans="1:4" ht="30">
      <c r="A5033" s="5" t="str">
        <f>HYPERLINK("https://www.oit.va.gov/Services/TRM/ToolPage.aspx?tid=11491^","Microsoft Report Builder")</f>
        <v>Microsoft Report Builder</v>
      </c>
      <c r="B5033" s="4" t="s">
        <v>11</v>
      </c>
      <c r="C5033" s="8" t="s">
        <v>5</v>
      </c>
      <c r="D5033" s="11" t="s">
        <v>2775</v>
      </c>
    </row>
    <row r="5034" spans="1:4" ht="30">
      <c r="A5034" s="5" t="str">
        <f>HYPERLINK("https://www.oit.va.gov/Services/TRM/ToolPage.aspx?tid=6403^","Microsoft Report Viewer")</f>
        <v>Microsoft Report Viewer</v>
      </c>
      <c r="B5034" s="4" t="s">
        <v>11</v>
      </c>
      <c r="C5034" s="8" t="s">
        <v>5</v>
      </c>
      <c r="D5034" s="11" t="s">
        <v>1982</v>
      </c>
    </row>
    <row r="5035" spans="1:4" ht="30">
      <c r="A5035" s="5" t="str">
        <f>HYPERLINK("https://www.oit.va.gov/Services/TRM/ToolPage.aspx?tid=5746^","Microsoft Visio")</f>
        <v>Microsoft Visio</v>
      </c>
      <c r="B5035" s="4" t="s">
        <v>11</v>
      </c>
      <c r="C5035" s="8" t="s">
        <v>5</v>
      </c>
      <c r="D5035" s="11" t="s">
        <v>2776</v>
      </c>
    </row>
    <row r="5036" spans="1:4" ht="30">
      <c r="A5036" s="5" t="str">
        <f>HYPERLINK("https://www.oit.va.gov/Services/TRM/ToolPage.aspx?tid=10248^","Microsoft Visual J# Version 2.0 Redistributable Package")</f>
        <v>Microsoft Visual J# Version 2.0 Redistributable Package</v>
      </c>
      <c r="B5036" s="4" t="s">
        <v>11</v>
      </c>
      <c r="C5036" s="8" t="s">
        <v>5</v>
      </c>
      <c r="D5036" s="11" t="s">
        <v>2777</v>
      </c>
    </row>
    <row r="5037" spans="1:4" ht="30">
      <c r="A5037" s="5" t="str">
        <f>HYPERLINK("https://www.oit.va.gov/Services/TRM/ToolPage.aspx?tid=8631^","Remote Desktop Connection Manager (RDCMan)")</f>
        <v>Remote Desktop Connection Manager (RDCMan)</v>
      </c>
      <c r="B5037" s="4" t="s">
        <v>11</v>
      </c>
      <c r="C5037" s="8" t="s">
        <v>5</v>
      </c>
      <c r="D5037" s="11" t="s">
        <v>2912</v>
      </c>
    </row>
    <row r="5038" spans="1:4" ht="30">
      <c r="A5038" s="5" t="str">
        <f>HYPERLINK("https://www.oit.va.gov/Services/TRM/ToolPage.aspx?tid=11765^","Unified Service Desk")</f>
        <v>Unified Service Desk</v>
      </c>
      <c r="B5038" s="4" t="s">
        <v>11</v>
      </c>
      <c r="C5038" s="8" t="s">
        <v>5</v>
      </c>
      <c r="D5038" s="11" t="s">
        <v>3046</v>
      </c>
    </row>
    <row r="5039" spans="1:4" ht="30">
      <c r="A5039" s="5" t="str">
        <f>HYPERLINK("https://www.oit.va.gov/Services/TRM/ToolPage.aspx?tid=9636^","Uniform Resource Locator (URL) Rewrite")</f>
        <v>Uniform Resource Locator (URL) Rewrite</v>
      </c>
      <c r="B5039" s="4" t="s">
        <v>11</v>
      </c>
      <c r="C5039" s="8" t="s">
        <v>5</v>
      </c>
      <c r="D5039" s="11" t="s">
        <v>2471</v>
      </c>
    </row>
    <row r="5040" spans="1:4" ht="30">
      <c r="A5040" s="5" t="str">
        <f>HYPERLINK("https://www.oit.va.gov/Services/TRM/StandardPage.aspx?tid=7856^","Visual Basic .NET (VB.NET)")</f>
        <v>Visual Basic .NET (VB.NET)</v>
      </c>
      <c r="B5040" s="4" t="s">
        <v>11</v>
      </c>
      <c r="C5040" s="8" t="s">
        <v>5</v>
      </c>
      <c r="D5040" s="11" t="s">
        <v>3071</v>
      </c>
    </row>
    <row r="5041" spans="1:4" ht="30">
      <c r="A5041" s="5" t="str">
        <f>HYPERLINK("https://www.oit.va.gov/Services/TRM/ToolPage.aspx?tid=10297^","Windows Mobile 5.0 Software Development Kit (SDK) for Pocket Personal Computer (PC)")</f>
        <v>Windows Mobile 5.0 Software Development Kit (SDK) for Pocket Personal Computer (PC)</v>
      </c>
      <c r="B5041" s="4" t="s">
        <v>11</v>
      </c>
      <c r="C5041" s="8" t="s">
        <v>5</v>
      </c>
      <c r="D5041" s="11" t="s">
        <v>3084</v>
      </c>
    </row>
    <row r="5042" spans="1:4" ht="30">
      <c r="A5042" s="5" t="str">
        <f>HYPERLINK("https://www.oit.va.gov/Services/TRM/StandardPage.aspx?tid=10397^","F# Runtime")</f>
        <v>F# Runtime</v>
      </c>
      <c r="B5042" s="4" t="s">
        <v>11</v>
      </c>
      <c r="C5042" s="8" t="s">
        <v>5</v>
      </c>
      <c r="D5042" s="11" t="s">
        <v>3113</v>
      </c>
    </row>
    <row r="5043" spans="1:4" ht="30">
      <c r="A5043" s="5" t="str">
        <f>HYPERLINK("https://www.oit.va.gov/Services/TRM/ToolPage.aspx?tid=11055^","Microsoft Assessment and Planning Toolkit")</f>
        <v>Microsoft Assessment and Planning Toolkit</v>
      </c>
      <c r="B5043" s="4" t="s">
        <v>11</v>
      </c>
      <c r="C5043" s="8" t="s">
        <v>5</v>
      </c>
      <c r="D5043" s="11" t="s">
        <v>3116</v>
      </c>
    </row>
    <row r="5044" spans="1:4" ht="30">
      <c r="A5044" s="5" t="str">
        <f>HYPERLINK("https://www.oit.va.gov/Services/TRM/ToolPage.aspx?tid=6590^","Forefront Protection 2010 for SharePoint")</f>
        <v>Forefront Protection 2010 for SharePoint</v>
      </c>
      <c r="B5044" s="4" t="s">
        <v>11</v>
      </c>
      <c r="C5044" s="8" t="s">
        <v>5</v>
      </c>
      <c r="D5044" s="11" t="s">
        <v>3303</v>
      </c>
    </row>
    <row r="5045" spans="1:4" ht="30">
      <c r="A5045" s="5" t="str">
        <f>HYPERLINK("https://www.oit.va.gov/Services/TRM/ToolPage.aspx?tid=15037^","FSLogix client")</f>
        <v>FSLogix client</v>
      </c>
      <c r="B5045" s="4" t="s">
        <v>11</v>
      </c>
      <c r="C5045" s="8" t="s">
        <v>5</v>
      </c>
      <c r="D5045" s="11" t="s">
        <v>3307</v>
      </c>
    </row>
    <row r="5046" spans="1:4" ht="30">
      <c r="A5046" s="5" t="str">
        <f>HYPERLINK("https://www.oit.va.gov/Services/TRM/ToolPage.aspx?tid=15135^","Local Group Policy Object (LGPO) Utility")</f>
        <v>Local Group Policy Object (LGPO) Utility</v>
      </c>
      <c r="B5046" s="4" t="s">
        <v>11</v>
      </c>
      <c r="C5046" s="8" t="s">
        <v>5</v>
      </c>
      <c r="D5046" s="11" t="s">
        <v>3365</v>
      </c>
    </row>
    <row r="5047" spans="1:4" ht="30">
      <c r="A5047" s="5" t="str">
        <f>HYPERLINK("https://www.oit.va.gov/Services/TRM/ToolPage.aspx?tid=16002^","Microsoft PowerToys")</f>
        <v>Microsoft PowerToys</v>
      </c>
      <c r="B5047" s="4" t="s">
        <v>11</v>
      </c>
      <c r="C5047" s="8" t="s">
        <v>5</v>
      </c>
      <c r="D5047" s="11" t="s">
        <v>3382</v>
      </c>
    </row>
    <row r="5048" spans="1:4" ht="30">
      <c r="A5048" s="5" t="str">
        <f>HYPERLINK("https://www.oit.va.gov/Services/TRM/ToolPage.aspx?tid=5448^","Microsoft SharePoint Server")</f>
        <v>Microsoft SharePoint Server</v>
      </c>
      <c r="B5048" s="4" t="s">
        <v>11</v>
      </c>
      <c r="C5048" s="8" t="s">
        <v>5</v>
      </c>
      <c r="D5048" s="11" t="s">
        <v>3383</v>
      </c>
    </row>
    <row r="5049" spans="1:4" ht="30">
      <c r="A5049" s="5" t="str">
        <f>HYPERLINK("https://www.oit.va.gov/Services/TRM/ToolPage.aspx?tid=8276^","Microsoft Workflow Manager")</f>
        <v>Microsoft Workflow Manager</v>
      </c>
      <c r="B5049" s="4" t="s">
        <v>11</v>
      </c>
      <c r="C5049" s="8" t="s">
        <v>5</v>
      </c>
      <c r="D5049" s="11" t="s">
        <v>3384</v>
      </c>
    </row>
    <row r="5050" spans="1:4" ht="30">
      <c r="A5050" s="5" t="str">
        <f>HYPERLINK("https://www.oit.va.gov/Services/TRM/ToolPage.aspx?tid=15125^","Accessibility Insights")</f>
        <v>Accessibility Insights</v>
      </c>
      <c r="B5050" s="4" t="s">
        <v>11</v>
      </c>
      <c r="C5050" s="8" t="s">
        <v>5</v>
      </c>
      <c r="D5050" s="11" t="s">
        <v>3694</v>
      </c>
    </row>
    <row r="5051" spans="1:4" ht="30">
      <c r="A5051" s="5" t="str">
        <f>HYPERLINK("https://www.oit.va.gov/Services/TRM/ToolPage.aspx?tid=15556^","Analyze in Excel")</f>
        <v>Analyze in Excel</v>
      </c>
      <c r="B5051" s="4" t="s">
        <v>11</v>
      </c>
      <c r="C5051" s="8" t="s">
        <v>5</v>
      </c>
      <c r="D5051" s="11" t="s">
        <v>1741</v>
      </c>
    </row>
    <row r="5052" spans="1:4" ht="30">
      <c r="A5052" s="5" t="str">
        <f>HYPERLINK("https://www.oit.va.gov/Services/TRM/ToolPage.aspx?tid=13050^","Application Insights JavaScript (JS)")</f>
        <v>Application Insights JavaScript (JS)</v>
      </c>
      <c r="B5052" s="4" t="s">
        <v>11</v>
      </c>
      <c r="C5052" s="8" t="s">
        <v>5</v>
      </c>
      <c r="D5052" s="11" t="s">
        <v>3302</v>
      </c>
    </row>
    <row r="5053" spans="1:4" ht="30">
      <c r="A5053" s="5" t="str">
        <f>HYPERLINK("https://www.oit.va.gov/Services/TRM/ToolPage.aspx?tid=15933^","Azure Data Factory (ADF)")</f>
        <v>Azure Data Factory (ADF)</v>
      </c>
      <c r="B5053" s="4" t="s">
        <v>11</v>
      </c>
      <c r="C5053" s="8" t="s">
        <v>5</v>
      </c>
      <c r="D5053" s="11" t="s">
        <v>1413</v>
      </c>
    </row>
    <row r="5054" spans="1:4" ht="30">
      <c r="A5054" s="5" t="str">
        <f>HYPERLINK("https://www.oit.va.gov/Services/TRM/ToolPage.aspx?tid=14520^","Azure Data Factory Self-Hosted Integration Runtime (IR)")</f>
        <v>Azure Data Factory Self-Hosted Integration Runtime (IR)</v>
      </c>
      <c r="B5054" s="4" t="s">
        <v>11</v>
      </c>
      <c r="C5054" s="8" t="s">
        <v>5</v>
      </c>
      <c r="D5054" s="11" t="s">
        <v>3812</v>
      </c>
    </row>
    <row r="5055" spans="1:4" ht="30">
      <c r="A5055" s="5" t="str">
        <f>HYPERLINK("https://www.oit.va.gov/Services/TRM/ToolPage.aspx?tid=13747^","Azure Data Studio")</f>
        <v>Azure Data Studio</v>
      </c>
      <c r="B5055" s="4" t="s">
        <v>11</v>
      </c>
      <c r="C5055" s="8" t="s">
        <v>5</v>
      </c>
      <c r="D5055" s="11" t="s">
        <v>621</v>
      </c>
    </row>
    <row r="5056" spans="1:4" ht="30">
      <c r="A5056" s="5" t="str">
        <f>HYPERLINK("https://www.oit.va.gov/Services/TRM/ToolPage.aspx?tid=16885^","Azure DevOps Office Integration")</f>
        <v>Azure DevOps Office Integration</v>
      </c>
      <c r="B5056" s="4" t="s">
        <v>11</v>
      </c>
      <c r="C5056" s="8" t="s">
        <v>5</v>
      </c>
      <c r="D5056" s="11" t="s">
        <v>1289</v>
      </c>
    </row>
    <row r="5057" spans="1:4" ht="30">
      <c r="A5057" s="5" t="str">
        <f>HYPERLINK("https://www.oit.va.gov/Services/TRM/ToolPage.aspx?tid=14727^","Azure Service Fabric")</f>
        <v>Azure Service Fabric</v>
      </c>
      <c r="B5057" s="4" t="s">
        <v>11</v>
      </c>
      <c r="C5057" s="8" t="s">
        <v>5</v>
      </c>
      <c r="D5057" s="11" t="s">
        <v>3814</v>
      </c>
    </row>
    <row r="5058" spans="1:4" ht="30">
      <c r="A5058" s="5" t="str">
        <f>HYPERLINK("https://www.oit.va.gov/Services/TRM/ToolPage.aspx?tid=15384^","Azurite")</f>
        <v>Azurite</v>
      </c>
      <c r="B5058" s="4" t="s">
        <v>11</v>
      </c>
      <c r="C5058" s="8" t="s">
        <v>5</v>
      </c>
      <c r="D5058" s="11" t="s">
        <v>3816</v>
      </c>
    </row>
    <row r="5059" spans="1:4" ht="30">
      <c r="A5059" s="5" t="str">
        <f>HYPERLINK("https://www.oit.va.gov/Services/TRM/ToolPage.aspx?tid=15244^","Bing Wallpaper")</f>
        <v>Bing Wallpaper</v>
      </c>
      <c r="B5059" s="4" t="s">
        <v>11</v>
      </c>
      <c r="C5059" s="8" t="s">
        <v>5</v>
      </c>
      <c r="D5059" s="11" t="s">
        <v>643</v>
      </c>
    </row>
    <row r="5060" spans="1:4" ht="30">
      <c r="A5060" s="5" t="str">
        <f>HYPERLINK("https://www.oit.va.gov/Services/TRM/ToolPage.aspx?tid=14124^","Bot Framework Emulator")</f>
        <v>Bot Framework Emulator</v>
      </c>
      <c r="B5060" s="4" t="s">
        <v>11</v>
      </c>
      <c r="C5060" s="8" t="s">
        <v>5</v>
      </c>
      <c r="D5060" s="11" t="s">
        <v>125</v>
      </c>
    </row>
    <row r="5061" spans="1:4" ht="30">
      <c r="A5061" s="5" t="str">
        <f>HYPERLINK("https://www.oit.va.gov/Services/TRM/ToolPage.aspx?tid=15825^","DocFX")</f>
        <v>DocFX</v>
      </c>
      <c r="B5061" s="4" t="s">
        <v>11</v>
      </c>
      <c r="C5061" s="8" t="s">
        <v>5</v>
      </c>
      <c r="D5061" s="11" t="s">
        <v>4030</v>
      </c>
    </row>
    <row r="5062" spans="1:4" ht="30">
      <c r="A5062" s="5" t="str">
        <f>HYPERLINK("https://www.oit.va.gov/Services/TRM/ToolPage.aspx?tid=5447^","Exchange Server")</f>
        <v>Exchange Server</v>
      </c>
      <c r="B5062" s="4" t="s">
        <v>11</v>
      </c>
      <c r="C5062" s="8" t="s">
        <v>5</v>
      </c>
      <c r="D5062" s="11" t="s">
        <v>4111</v>
      </c>
    </row>
    <row r="5063" spans="1:4" ht="30">
      <c r="A5063" s="5" t="str">
        <f>HYPERLINK("https://www.oit.va.gov/Services/TRM/ToolPage.aspx?tid=9303^","Microsoft Access Database Engine")</f>
        <v>Microsoft Access Database Engine</v>
      </c>
      <c r="B5063" s="4" t="s">
        <v>11</v>
      </c>
      <c r="C5063" s="8" t="s">
        <v>5</v>
      </c>
      <c r="D5063" s="11" t="s">
        <v>1048</v>
      </c>
    </row>
    <row r="5064" spans="1:4" ht="30">
      <c r="A5064" s="5" t="str">
        <f>HYPERLINK("https://www.oit.va.gov/Services/TRM/ToolPage.aspx?tid=15139^","Microsoft Analysis Services OLE DB Provider")</f>
        <v>Microsoft Analysis Services OLE DB Provider</v>
      </c>
      <c r="B5064" s="4" t="s">
        <v>11</v>
      </c>
      <c r="C5064" s="8" t="s">
        <v>5</v>
      </c>
      <c r="D5064" s="11" t="s">
        <v>1630</v>
      </c>
    </row>
    <row r="5065" spans="1:4" ht="30">
      <c r="A5065" s="5" t="str">
        <f>HYPERLINK("https://www.oit.va.gov/Services/TRM/ToolPage.aspx?tid=11049^","Microsoft Azure Backup Server")</f>
        <v>Microsoft Azure Backup Server</v>
      </c>
      <c r="B5065" s="4" t="s">
        <v>11</v>
      </c>
      <c r="C5065" s="8" t="s">
        <v>5</v>
      </c>
      <c r="D5065" s="11" t="s">
        <v>584</v>
      </c>
    </row>
    <row r="5066" spans="1:4" ht="30">
      <c r="A5066" s="5" t="str">
        <f>HYPERLINK("https://www.oit.va.gov/Services/TRM/ToolPage.aspx?tid=11053^","Microsoft Azure Site Recovery Deployment Planner for VMware")</f>
        <v>Microsoft Azure Site Recovery Deployment Planner for VMware</v>
      </c>
      <c r="B5066" s="4" t="s">
        <v>11</v>
      </c>
      <c r="C5066" s="8" t="s">
        <v>5</v>
      </c>
      <c r="D5066" s="11" t="s">
        <v>192</v>
      </c>
    </row>
    <row r="5067" spans="1:4" ht="30">
      <c r="A5067" s="5" t="str">
        <f>HYPERLINK("https://www.oit.va.gov/Services/TRM/ToolPage.aspx?tid=16733^","Microsoft Azure Tools for Visual Studio Code (VS Code)")</f>
        <v>Microsoft Azure Tools for Visual Studio Code (VS Code)</v>
      </c>
      <c r="B5067" s="4" t="s">
        <v>11</v>
      </c>
      <c r="C5067" s="8" t="s">
        <v>5</v>
      </c>
      <c r="D5067" s="11" t="s">
        <v>1840</v>
      </c>
    </row>
    <row r="5068" spans="1:4" ht="30">
      <c r="A5068" s="5" t="str">
        <f>HYPERLINK("https://www.oit.va.gov/Services/TRM/ToolPage.aspx?tid=16541^","Microsoft Customer Voice")</f>
        <v>Microsoft Customer Voice</v>
      </c>
      <c r="B5068" s="4" t="s">
        <v>11</v>
      </c>
      <c r="C5068" s="8" t="s">
        <v>5</v>
      </c>
      <c r="D5068" s="11" t="s">
        <v>4295</v>
      </c>
    </row>
    <row r="5069" spans="1:4" ht="30">
      <c r="A5069" s="5" t="str">
        <f>HYPERLINK("https://www.oit.va.gov/Services/TRM/ToolPage.aspx?tid=6979^","Microsoft Dynamics GP")</f>
        <v>Microsoft Dynamics GP</v>
      </c>
      <c r="B5069" s="4" t="s">
        <v>11</v>
      </c>
      <c r="C5069" s="8" t="s">
        <v>5</v>
      </c>
      <c r="D5069" s="11" t="s">
        <v>2783</v>
      </c>
    </row>
    <row r="5070" spans="1:4" ht="30">
      <c r="A5070" s="5" t="str">
        <f>HYPERLINK("https://www.oit.va.gov/Services/TRM/ToolPage.aspx?tid=9698^","Microsoft Dynamics SL")</f>
        <v>Microsoft Dynamics SL</v>
      </c>
      <c r="B5070" s="4" t="s">
        <v>11</v>
      </c>
      <c r="C5070" s="8" t="s">
        <v>5</v>
      </c>
      <c r="D5070" s="11" t="s">
        <v>4410</v>
      </c>
    </row>
    <row r="5071" spans="1:4" ht="30">
      <c r="A5071" s="5" t="str">
        <f>HYPERLINK("https://www.oit.va.gov/Services/TRM/ToolPage.aspx?tid=16163^","Microsoft Edge WebDriver")</f>
        <v>Microsoft Edge WebDriver</v>
      </c>
      <c r="B5071" s="4" t="s">
        <v>11</v>
      </c>
      <c r="C5071" s="8" t="s">
        <v>5</v>
      </c>
      <c r="D5071" s="11" t="s">
        <v>937</v>
      </c>
    </row>
    <row r="5072" spans="1:4" ht="30">
      <c r="A5072" s="5" t="str">
        <f>HYPERLINK("https://www.oit.va.gov/Services/TRM/ToolPage.aspx?tid=15756^","Microsoft Edge WebView2 Runtime")</f>
        <v>Microsoft Edge WebView2 Runtime</v>
      </c>
      <c r="B5072" s="4" t="s">
        <v>11</v>
      </c>
      <c r="C5072" s="8" t="s">
        <v>5</v>
      </c>
      <c r="D5072" s="11" t="s">
        <v>4411</v>
      </c>
    </row>
    <row r="5073" spans="1:4" ht="30">
      <c r="A5073" s="5" t="str">
        <f>HYPERLINK("https://www.oit.va.gov/Services/TRM/ToolPage.aspx?tid=5612^","Microsoft Excel")</f>
        <v>Microsoft Excel</v>
      </c>
      <c r="B5073" s="4" t="s">
        <v>11</v>
      </c>
      <c r="C5073" s="8" t="s">
        <v>5</v>
      </c>
      <c r="D5073" s="11" t="s">
        <v>4412</v>
      </c>
    </row>
    <row r="5074" spans="1:4" ht="30">
      <c r="A5074" s="5" t="str">
        <f>HYPERLINK("https://www.oit.va.gov/Services/TRM/ToolPage.aspx?tid=14883^","Microsoft FindTime")</f>
        <v>Microsoft FindTime</v>
      </c>
      <c r="B5074" s="4" t="s">
        <v>11</v>
      </c>
      <c r="C5074" s="8" t="s">
        <v>5</v>
      </c>
      <c r="D5074" s="11" t="s">
        <v>4413</v>
      </c>
    </row>
    <row r="5075" spans="1:4" ht="30">
      <c r="A5075" s="5" t="str">
        <f>HYPERLINK("https://www.oit.va.gov/Services/TRM/ToolPage.aspx?tid=5108^","Microsoft Internet Information Services (IIS)")</f>
        <v>Microsoft Internet Information Services (IIS)</v>
      </c>
      <c r="B5075" s="4" t="s">
        <v>11</v>
      </c>
      <c r="C5075" s="8" t="s">
        <v>5</v>
      </c>
      <c r="D5075" s="11" t="s">
        <v>4414</v>
      </c>
    </row>
    <row r="5076" spans="1:4" ht="30">
      <c r="A5076" s="5" t="str">
        <f>HYPERLINK("https://www.oit.va.gov/Services/TRM/ToolPage.aspx?tid=10060^","Microsoft Message Queuing (MSMQ)")</f>
        <v>Microsoft Message Queuing (MSMQ)</v>
      </c>
      <c r="B5076" s="4" t="s">
        <v>11</v>
      </c>
      <c r="C5076" s="8" t="s">
        <v>5</v>
      </c>
      <c r="D5076" s="11" t="s">
        <v>3313</v>
      </c>
    </row>
    <row r="5077" spans="1:4" ht="30">
      <c r="A5077" s="5" t="str">
        <f>HYPERLINK("https://www.oit.va.gov/Services/TRM/ToolPage.aspx?tid=15222^","Microsoft OLE DB Driver for SQL Server (MSOLEDBSQL)")</f>
        <v>Microsoft OLE DB Driver for SQL Server (MSOLEDBSQL)</v>
      </c>
      <c r="B5077" s="4" t="s">
        <v>11</v>
      </c>
      <c r="C5077" s="8" t="s">
        <v>5</v>
      </c>
      <c r="D5077" s="11" t="s">
        <v>4415</v>
      </c>
    </row>
    <row r="5078" spans="1:4" ht="30">
      <c r="A5078" s="5" t="str">
        <f>HYPERLINK("https://www.oit.va.gov/Services/TRM/ToolPage.aspx?tid=10119^","Microsoft Open Database Connectivity (ODBC) Driver for SQL Server")</f>
        <v>Microsoft Open Database Connectivity (ODBC) Driver for SQL Server</v>
      </c>
      <c r="B5078" s="4" t="s">
        <v>11</v>
      </c>
      <c r="C5078" s="8" t="s">
        <v>5</v>
      </c>
      <c r="D5078" s="11" t="s">
        <v>4416</v>
      </c>
    </row>
    <row r="5079" spans="1:4" ht="30">
      <c r="A5079" s="5" t="str">
        <f>HYPERLINK("https://www.oit.va.gov/Services/TRM/ToolPage.aspx?tid=15738^","Microsoft Playwright")</f>
        <v>Microsoft Playwright</v>
      </c>
      <c r="B5079" s="4" t="s">
        <v>11</v>
      </c>
      <c r="C5079" s="8" t="s">
        <v>5</v>
      </c>
      <c r="D5079" s="11" t="s">
        <v>803</v>
      </c>
    </row>
    <row r="5080" spans="1:4" ht="30">
      <c r="A5080" s="5" t="str">
        <f>HYPERLINK("https://www.oit.va.gov/Services/TRM/ToolPage.aspx?tid=15983^","Microsoft Power Automate (Browser Extension)")</f>
        <v>Microsoft Power Automate (Browser Extension)</v>
      </c>
      <c r="B5080" s="4" t="s">
        <v>11</v>
      </c>
      <c r="C5080" s="8" t="s">
        <v>5</v>
      </c>
      <c r="D5080" s="11" t="s">
        <v>982</v>
      </c>
    </row>
    <row r="5081" spans="1:4" ht="30">
      <c r="A5081" s="5" t="str">
        <f>HYPERLINK("https://www.oit.va.gov/Services/TRM/ToolPage.aspx?tid=14747^","Microsoft Power Business Intelligence (BI) Report Builder")</f>
        <v>Microsoft Power Business Intelligence (BI) Report Builder</v>
      </c>
      <c r="B5081" s="4" t="s">
        <v>11</v>
      </c>
      <c r="C5081" s="8" t="s">
        <v>5</v>
      </c>
      <c r="D5081" s="11" t="s">
        <v>4417</v>
      </c>
    </row>
    <row r="5082" spans="1:4" ht="30">
      <c r="A5082" s="5" t="str">
        <f>HYPERLINK("https://www.oit.va.gov/Services/TRM/ToolPage.aspx?tid=14451^","Microsoft Power Business Intelligence (BI) Report Server")</f>
        <v>Microsoft Power Business Intelligence (BI) Report Server</v>
      </c>
      <c r="B5082" s="4" t="s">
        <v>11</v>
      </c>
      <c r="C5082" s="8" t="s">
        <v>5</v>
      </c>
      <c r="D5082" s="11" t="s">
        <v>3451</v>
      </c>
    </row>
    <row r="5083" spans="1:4" ht="30">
      <c r="A5083" s="5" t="str">
        <f>HYPERLINK("https://www.oit.va.gov/Services/TRM/ToolPage.aspx?tid=15668^","Microsoft PowerApps Desktop Client")</f>
        <v>Microsoft PowerApps Desktop Client</v>
      </c>
      <c r="B5083" s="4" t="s">
        <v>11</v>
      </c>
      <c r="C5083" s="8" t="s">
        <v>5</v>
      </c>
      <c r="D5083" s="11" t="s">
        <v>714</v>
      </c>
    </row>
    <row r="5084" spans="1:4" ht="30">
      <c r="A5084" s="5" t="str">
        <f>HYPERLINK("https://www.oit.va.gov/Services/TRM/ToolPage.aspx?tid=11582^","Microsoft PowerBI Data Gateway")</f>
        <v>Microsoft PowerBI Data Gateway</v>
      </c>
      <c r="B5084" s="4" t="s">
        <v>11</v>
      </c>
      <c r="C5084" s="8" t="s">
        <v>5</v>
      </c>
      <c r="D5084" s="11" t="s">
        <v>1371</v>
      </c>
    </row>
    <row r="5085" spans="1:4" ht="30">
      <c r="A5085" s="5" t="str">
        <f>HYPERLINK("https://www.oit.va.gov/Services/TRM/ToolPage.aspx?tid=5662^","Microsoft Project")</f>
        <v>Microsoft Project</v>
      </c>
      <c r="B5085" s="4" t="s">
        <v>11</v>
      </c>
      <c r="C5085" s="8" t="s">
        <v>5</v>
      </c>
      <c r="D5085" s="11" t="s">
        <v>4418</v>
      </c>
    </row>
    <row r="5086" spans="1:4" ht="30">
      <c r="A5086" s="5" t="str">
        <f>HYPERLINK("https://www.oit.va.gov/Services/TRM/ToolPage.aspx?tid=16763^","Microsoft Report Message Add-in")</f>
        <v>Microsoft Report Message Add-in</v>
      </c>
      <c r="B5086" s="4" t="s">
        <v>11</v>
      </c>
      <c r="C5086" s="8" t="s">
        <v>5</v>
      </c>
      <c r="D5086" s="11" t="s">
        <v>4419</v>
      </c>
    </row>
    <row r="5087" spans="1:4" ht="30">
      <c r="A5087" s="5" t="str">
        <f>HYPERLINK("https://www.oit.va.gov/Services/TRM/ToolPage.aspx?tid=16762^","Microsoft Report Phishing Add-in")</f>
        <v>Microsoft Report Phishing Add-in</v>
      </c>
      <c r="B5087" s="4" t="s">
        <v>11</v>
      </c>
      <c r="C5087" s="8" t="s">
        <v>5</v>
      </c>
      <c r="D5087" s="11" t="s">
        <v>4419</v>
      </c>
    </row>
    <row r="5088" spans="1:4" ht="30">
      <c r="A5088" s="5" t="str">
        <f>HYPERLINK("https://www.oit.va.gov/Services/TRM/ToolPage.aspx?tid=5719^","Microsoft SharePoint Designer")</f>
        <v>Microsoft SharePoint Designer</v>
      </c>
      <c r="B5088" s="4" t="s">
        <v>11</v>
      </c>
      <c r="C5088" s="8" t="s">
        <v>5</v>
      </c>
      <c r="D5088" s="11" t="s">
        <v>4420</v>
      </c>
    </row>
    <row r="5089" spans="1:4" ht="30">
      <c r="A5089" s="5" t="str">
        <f>HYPERLINK("https://www.oit.va.gov/Services/TRM/ToolPage.aspx?tid=6208^","Microsoft Structured Query Language (SQL) Server Java Database Connectivity (JDBC) Driver")</f>
        <v>Microsoft Structured Query Language (SQL) Server Java Database Connectivity (JDBC) Driver</v>
      </c>
      <c r="B5089" s="4" t="s">
        <v>11</v>
      </c>
      <c r="C5089" s="8" t="s">
        <v>5</v>
      </c>
      <c r="D5089" s="11" t="s">
        <v>4421</v>
      </c>
    </row>
    <row r="5090" spans="1:4" ht="30">
      <c r="A5090" s="5" t="str">
        <f>HYPERLINK("https://www.oit.va.gov/Services/TRM/ToolPage.aspx?tid=15390^","Microsoft Structured Query Language (SQL) Server Reporting Services (SSRS)")</f>
        <v>Microsoft Structured Query Language (SQL) Server Reporting Services (SSRS)</v>
      </c>
      <c r="B5090" s="4" t="s">
        <v>11</v>
      </c>
      <c r="C5090" s="8" t="s">
        <v>5</v>
      </c>
      <c r="D5090" s="11" t="s">
        <v>4422</v>
      </c>
    </row>
    <row r="5091" spans="1:4" ht="30">
      <c r="A5091" s="5" t="str">
        <f>HYPERLINK("https://www.oit.va.gov/Services/TRM/ToolPage.aspx?tid=8164^","Microsoft System Center Operations Manager (SCOM)")</f>
        <v>Microsoft System Center Operations Manager (SCOM)</v>
      </c>
      <c r="B5091" s="4" t="s">
        <v>11</v>
      </c>
      <c r="C5091" s="8" t="s">
        <v>5</v>
      </c>
      <c r="D5091" s="11" t="s">
        <v>4423</v>
      </c>
    </row>
    <row r="5092" spans="1:4" ht="30">
      <c r="A5092" s="5" t="str">
        <f>HYPERLINK("https://www.oit.va.gov/Services/TRM/ToolPage.aspx?tid=8189^","Microsoft System Center Orchestrator")</f>
        <v>Microsoft System Center Orchestrator</v>
      </c>
      <c r="B5092" s="4" t="s">
        <v>11</v>
      </c>
      <c r="C5092" s="8" t="s">
        <v>5</v>
      </c>
      <c r="D5092" s="11" t="s">
        <v>4424</v>
      </c>
    </row>
    <row r="5093" spans="1:4" ht="30">
      <c r="A5093" s="5" t="str">
        <f>HYPERLINK("https://www.oit.va.gov/Services/TRM/ToolPage.aspx?tid=14196^","Microsoft Teams")</f>
        <v>Microsoft Teams</v>
      </c>
      <c r="B5093" s="4" t="s">
        <v>11</v>
      </c>
      <c r="C5093" s="8" t="s">
        <v>5</v>
      </c>
      <c r="D5093" s="11" t="s">
        <v>4425</v>
      </c>
    </row>
    <row r="5094" spans="1:4" ht="30">
      <c r="A5094" s="5" t="str">
        <f>HYPERLINK("https://www.oit.va.gov/Services/TRM/ToolPage.aspx?tid=6473^","Microsoft Visual Basic for Applications (VBA) for Microsoft Office Suite of Products")</f>
        <v>Microsoft Visual Basic for Applications (VBA) for Microsoft Office Suite of Products</v>
      </c>
      <c r="B5094" s="4" t="s">
        <v>11</v>
      </c>
      <c r="C5094" s="8" t="s">
        <v>5</v>
      </c>
      <c r="D5094" s="11" t="s">
        <v>759</v>
      </c>
    </row>
    <row r="5095" spans="1:4" ht="30">
      <c r="A5095" s="5" t="str">
        <f>HYPERLINK("https://www.oit.va.gov/Services/TRM/ToolPage.aspx?tid=15075^","Page Diagnostics for SharePoint")</f>
        <v>Page Diagnostics for SharePoint</v>
      </c>
      <c r="B5095" s="4" t="s">
        <v>11</v>
      </c>
      <c r="C5095" s="8" t="s">
        <v>5</v>
      </c>
      <c r="D5095" s="11" t="s">
        <v>4573</v>
      </c>
    </row>
    <row r="5096" spans="1:4" ht="30">
      <c r="A5096" s="5" t="str">
        <f>HYPERLINK("https://www.oit.va.gov/Services/TRM/ToolPage.aspx?tid=16710^","PowerShell for Visual Studio Code (VS Code)")</f>
        <v>PowerShell for Visual Studio Code (VS Code)</v>
      </c>
      <c r="B5096" s="4" t="s">
        <v>11</v>
      </c>
      <c r="C5096" s="8" t="s">
        <v>5</v>
      </c>
      <c r="D5096" s="11" t="s">
        <v>4641</v>
      </c>
    </row>
    <row r="5097" spans="1:4" ht="30">
      <c r="A5097" s="5" t="str">
        <f>HYPERLINK("https://www.oit.va.gov/Services/TRM/ToolPage.aspx?tid=14365^","ShareX")</f>
        <v>ShareX</v>
      </c>
      <c r="B5097" s="4" t="s">
        <v>11</v>
      </c>
      <c r="C5097" s="8" t="s">
        <v>5</v>
      </c>
      <c r="D5097" s="11" t="s">
        <v>828</v>
      </c>
    </row>
    <row r="5098" spans="1:4" ht="30">
      <c r="A5098" s="5" t="str">
        <f>HYPERLINK("https://www.oit.va.gov/Services/TRM/ToolPage.aspx?tid=15622^","Structured Query Language (SQL) Server Integration Services (SSIS) Projects")</f>
        <v>Structured Query Language (SQL) Server Integration Services (SSIS) Projects</v>
      </c>
      <c r="B5098" s="4" t="s">
        <v>11</v>
      </c>
      <c r="C5098" s="8" t="s">
        <v>5</v>
      </c>
      <c r="D5098" s="11" t="s">
        <v>4867</v>
      </c>
    </row>
    <row r="5099" spans="1:4" ht="30">
      <c r="A5099" s="5" t="str">
        <f>HYPERLINK("https://www.oit.va.gov/Services/TRM/ToolPage.aspx?tid=10739^","System Center Data Protection Manager")</f>
        <v>System Center Data Protection Manager</v>
      </c>
      <c r="B5099" s="4" t="s">
        <v>11</v>
      </c>
      <c r="C5099" s="8" t="s">
        <v>5</v>
      </c>
      <c r="D5099" s="11" t="s">
        <v>192</v>
      </c>
    </row>
    <row r="5100" spans="1:4" ht="30">
      <c r="A5100" s="5" t="str">
        <f>HYPERLINK("https://www.oit.va.gov/Services/TRM/ToolPage.aspx?tid=11442^","System Center Virtual Machine Manager (SCVMM)")</f>
        <v>System Center Virtual Machine Manager (SCVMM)</v>
      </c>
      <c r="B5100" s="4" t="s">
        <v>11</v>
      </c>
      <c r="C5100" s="8" t="s">
        <v>5</v>
      </c>
      <c r="D5100" s="11" t="s">
        <v>1116</v>
      </c>
    </row>
    <row r="5101" spans="1:4" ht="30">
      <c r="A5101" s="5" t="str">
        <f>HYPERLINK("https://www.oit.va.gov/Services/TRM/ToolPage.aspx?tid=13047^","Windows Admin Center")</f>
        <v>Windows Admin Center</v>
      </c>
      <c r="B5101" s="4" t="s">
        <v>11</v>
      </c>
      <c r="C5101" s="8" t="s">
        <v>5</v>
      </c>
      <c r="D5101" s="11" t="s">
        <v>3247</v>
      </c>
    </row>
    <row r="5102" spans="1:4" ht="30">
      <c r="A5102" s="5" t="str">
        <f>HYPERLINK("https://www.oit.va.gov/Services/TRM/ToolPage.aspx?tid=5773^","Windows Media Player")</f>
        <v>Windows Media Player</v>
      </c>
      <c r="B5102" s="4" t="s">
        <v>11</v>
      </c>
      <c r="C5102" s="8" t="s">
        <v>5</v>
      </c>
      <c r="D5102" s="11" t="s">
        <v>4994</v>
      </c>
    </row>
    <row r="5103" spans="1:4" ht="30">
      <c r="A5103" s="5" t="str">
        <f>HYPERLINK("https://www.oit.va.gov/Services/TRM/StandardPage.aspx?tid=7668^","Windows New Technology Local Area Network Manager (NTLM)")</f>
        <v>Windows New Technology Local Area Network Manager (NTLM)</v>
      </c>
      <c r="B5103" s="4" t="s">
        <v>11</v>
      </c>
      <c r="C5103" s="8" t="s">
        <v>5</v>
      </c>
      <c r="D5103" s="11" t="s">
        <v>4995</v>
      </c>
    </row>
    <row r="5104" spans="1:4" ht="30">
      <c r="A5104" s="5" t="str">
        <f>HYPERLINK("https://www.oit.va.gov/Services/TRM/ToolPage.aspx?tid=15864^","XRM Toolkit")</f>
        <v>XRM Toolkit</v>
      </c>
      <c r="B5104" s="4" t="s">
        <v>11</v>
      </c>
      <c r="C5104" s="8" t="s">
        <v>5</v>
      </c>
      <c r="D5104" s="11" t="s">
        <v>5010</v>
      </c>
    </row>
    <row r="5105" spans="1:4" ht="30">
      <c r="A5105" s="5" t="str">
        <f>HYPERLINK("https://www.oit.va.gov/Services/TRM/ToolPage.aspx?tid=16161^","ClickOnce Bootstrapper")</f>
        <v>ClickOnce Bootstrapper</v>
      </c>
      <c r="B5105" s="4" t="s">
        <v>11</v>
      </c>
      <c r="C5105" s="8" t="s">
        <v>5</v>
      </c>
      <c r="D5105" s="11" t="s">
        <v>2376</v>
      </c>
    </row>
    <row r="5106" spans="1:4" ht="30">
      <c r="A5106" s="5" t="str">
        <f>HYPERLINK("https://www.oit.va.gov/Services/TRM/ToolPage.aspx?tid=10234^","Expression Blend Software Development Kit (SDK) 4")</f>
        <v>Expression Blend Software Development Kit (SDK) 4</v>
      </c>
      <c r="B5106" s="4" t="s">
        <v>11</v>
      </c>
      <c r="C5106" s="8" t="s">
        <v>5</v>
      </c>
      <c r="D5106" s="11" t="s">
        <v>5191</v>
      </c>
    </row>
    <row r="5107" spans="1:4" ht="30">
      <c r="A5107" s="5" t="str">
        <f>HYPERLINK("https://www.oit.va.gov/Services/TRM/ToolPage.aspx?tid=10396^","Extensible Markup Language (XML) Notepad")</f>
        <v>Extensible Markup Language (XML) Notepad</v>
      </c>
      <c r="B5107" s="4" t="s">
        <v>11</v>
      </c>
      <c r="C5107" s="8" t="s">
        <v>5</v>
      </c>
      <c r="D5107" s="11" t="s">
        <v>4159</v>
      </c>
    </row>
    <row r="5108" spans="1:4" ht="30">
      <c r="A5108" s="5" t="str">
        <f>HYPERLINK("https://www.oit.va.gov/Services/TRM/ToolPage.aspx?tid=11819^","List Dynamic Link Library (DLLs)")</f>
        <v>List Dynamic Link Library (DLLs)</v>
      </c>
      <c r="B5108" s="4" t="s">
        <v>11</v>
      </c>
      <c r="C5108" s="8" t="s">
        <v>5</v>
      </c>
      <c r="D5108" s="11" t="s">
        <v>1587</v>
      </c>
    </row>
    <row r="5109" spans="1:4" ht="30">
      <c r="A5109" s="5" t="str">
        <f>HYPERLINK("https://www.oit.va.gov/Services/TRM/ToolPage.aspx?tid=8793^","Log Parser")</f>
        <v>Log Parser</v>
      </c>
      <c r="B5109" s="4" t="s">
        <v>11</v>
      </c>
      <c r="C5109" s="8" t="s">
        <v>5</v>
      </c>
      <c r="D5109" s="11" t="s">
        <v>2752</v>
      </c>
    </row>
    <row r="5110" spans="1:4" ht="30">
      <c r="A5110" s="5" t="str">
        <f>HYPERLINK("https://www.oit.va.gov/Services/TRM/ToolPage.aspx?tid=9155^","Log Parser Studio")</f>
        <v>Log Parser Studio</v>
      </c>
      <c r="B5110" s="4" t="s">
        <v>11</v>
      </c>
      <c r="C5110" s="8" t="s">
        <v>5</v>
      </c>
      <c r="D5110" s="11" t="s">
        <v>5310</v>
      </c>
    </row>
    <row r="5111" spans="1:4" ht="30">
      <c r="A5111" s="5" t="str">
        <f>HYPERLINK("https://www.oit.va.gov/Services/TRM/ToolPage.aspx?tid=13020^","Microsoft Active Accessibility (MSAA) Software Development Kit (SDK)")</f>
        <v>Microsoft Active Accessibility (MSAA) Software Development Kit (SDK)</v>
      </c>
      <c r="B5111" s="4" t="s">
        <v>11</v>
      </c>
      <c r="C5111" s="8" t="s">
        <v>5</v>
      </c>
      <c r="D5111" s="11" t="s">
        <v>5340</v>
      </c>
    </row>
    <row r="5112" spans="1:4" ht="30">
      <c r="A5112" s="5" t="str">
        <f>HYPERLINK("https://www.oit.va.gov/Services/TRM/ToolPage.aspx?tid=11048^","Microsoft AzCopy")</f>
        <v>Microsoft AzCopy</v>
      </c>
      <c r="B5112" s="4" t="s">
        <v>11</v>
      </c>
      <c r="C5112" s="8" t="s">
        <v>5</v>
      </c>
      <c r="D5112" s="11" t="s">
        <v>5341</v>
      </c>
    </row>
    <row r="5113" spans="1:4" ht="30">
      <c r="A5113" s="5" t="str">
        <f>HYPERLINK("https://www.oit.va.gov/Services/TRM/ToolPage.aspx?tid=11296^","Microsoft Azure Active Directory for Windows PowerShell")</f>
        <v>Microsoft Azure Active Directory for Windows PowerShell</v>
      </c>
      <c r="B5113" s="4" t="s">
        <v>11</v>
      </c>
      <c r="C5113" s="8" t="s">
        <v>5</v>
      </c>
      <c r="D5113" s="11" t="s">
        <v>5342</v>
      </c>
    </row>
    <row r="5114" spans="1:4" ht="30">
      <c r="A5114" s="5" t="str">
        <f>HYPERLINK("https://www.oit.va.gov/Services/TRM/ToolPage.aspx?tid=11054^","Microsoft Azure Storage Explorer")</f>
        <v>Microsoft Azure Storage Explorer</v>
      </c>
      <c r="B5114" s="4" t="s">
        <v>11</v>
      </c>
      <c r="C5114" s="8" t="s">
        <v>5</v>
      </c>
      <c r="D5114" s="11" t="s">
        <v>4418</v>
      </c>
    </row>
    <row r="5115" spans="1:4" ht="30">
      <c r="A5115" s="5" t="str">
        <f>HYPERLINK("https://www.oit.va.gov/Services/TRM/ToolPage.aspx?tid=10624^","Microsoft Enterprise Library")</f>
        <v>Microsoft Enterprise Library</v>
      </c>
      <c r="B5115" s="4" t="s">
        <v>11</v>
      </c>
      <c r="C5115" s="8" t="s">
        <v>5</v>
      </c>
      <c r="D5115" s="11" t="s">
        <v>5343</v>
      </c>
    </row>
    <row r="5116" spans="1:4" ht="30">
      <c r="A5116" s="5" t="str">
        <f>HYPERLINK("https://www.oit.va.gov/Services/TRM/ToolPage.aspx?tid=7327^","Microsoft Message Analyzer")</f>
        <v>Microsoft Message Analyzer</v>
      </c>
      <c r="B5116" s="4" t="s">
        <v>11</v>
      </c>
      <c r="C5116" s="8" t="s">
        <v>5</v>
      </c>
      <c r="D5116" s="11" t="s">
        <v>5344</v>
      </c>
    </row>
    <row r="5117" spans="1:4" ht="30">
      <c r="A5117" s="5" t="str">
        <f>HYPERLINK("https://www.oit.va.gov/Services/TRM/ToolPage.aspx?tid=6501^","Microsoft Mouse without Borders")</f>
        <v>Microsoft Mouse without Borders</v>
      </c>
      <c r="B5117" s="4" t="s">
        <v>11</v>
      </c>
      <c r="C5117" s="8" t="s">
        <v>5</v>
      </c>
      <c r="D5117" s="11" t="s">
        <v>5342</v>
      </c>
    </row>
    <row r="5118" spans="1:4" ht="30">
      <c r="A5118" s="5" t="str">
        <f>HYPERLINK("https://www.oit.va.gov/Services/TRM/ToolPage.aspx?tid=9304^","Microsoft NTttcp")</f>
        <v>Microsoft NTttcp</v>
      </c>
      <c r="B5118" s="4" t="s">
        <v>11</v>
      </c>
      <c r="C5118" s="8" t="s">
        <v>5</v>
      </c>
      <c r="D5118" s="11" t="s">
        <v>2961</v>
      </c>
    </row>
    <row r="5119" spans="1:4" ht="30">
      <c r="A5119" s="5" t="str">
        <f>HYPERLINK("https://www.oit.va.gov/Services/TRM/ToolPage.aspx?tid=11796^","Microsoft Solver Foundation")</f>
        <v>Microsoft Solver Foundation</v>
      </c>
      <c r="B5119" s="4" t="s">
        <v>11</v>
      </c>
      <c r="C5119" s="8" t="s">
        <v>5</v>
      </c>
      <c r="D5119" s="11" t="s">
        <v>5345</v>
      </c>
    </row>
    <row r="5120" spans="1:4" ht="30">
      <c r="A5120" s="5" t="str">
        <f>HYPERLINK("https://www.oit.va.gov/Services/TRM/ToolPage.aspx?tid=11403^","Microsoft Sync Framework Software Development Kit (SDK)")</f>
        <v>Microsoft Sync Framework Software Development Kit (SDK)</v>
      </c>
      <c r="B5120" s="4" t="s">
        <v>11</v>
      </c>
      <c r="C5120" s="8" t="s">
        <v>5</v>
      </c>
      <c r="D5120" s="11" t="s">
        <v>5346</v>
      </c>
    </row>
    <row r="5121" spans="1:4" ht="30">
      <c r="A5121" s="5" t="str">
        <f>HYPERLINK("https://www.oit.va.gov/Services/TRM/ToolPage.aspx?tid=8526^","Microsoft System Center Service Manager (SCSM)")</f>
        <v>Microsoft System Center Service Manager (SCSM)</v>
      </c>
      <c r="B5121" s="4" t="s">
        <v>11</v>
      </c>
      <c r="C5121" s="8" t="s">
        <v>5</v>
      </c>
      <c r="D5121" s="11" t="s">
        <v>5347</v>
      </c>
    </row>
    <row r="5122" spans="1:4" ht="30">
      <c r="A5122" s="5" t="str">
        <f>HYPERLINK("https://www.oit.va.gov/Services/TRM/ToolPage.aspx?tid=10301^","Microsoft Visual Studio Tools for Applications")</f>
        <v>Microsoft Visual Studio Tools for Applications</v>
      </c>
      <c r="B5122" s="4" t="s">
        <v>11</v>
      </c>
      <c r="C5122" s="8" t="s">
        <v>5</v>
      </c>
      <c r="D5122" s="11" t="s">
        <v>5348</v>
      </c>
    </row>
    <row r="5123" spans="1:4" ht="30">
      <c r="A5123" s="5" t="str">
        <f>HYPERLINK("https://www.oit.va.gov/Services/TRM/ToolPage.aspx?tid=7575^","Microsoft Windows Expression Encoder")</f>
        <v>Microsoft Windows Expression Encoder</v>
      </c>
      <c r="B5123" s="4" t="s">
        <v>11</v>
      </c>
      <c r="C5123" s="8" t="s">
        <v>5</v>
      </c>
      <c r="D5123" s="11" t="s">
        <v>5349</v>
      </c>
    </row>
    <row r="5124" spans="1:4" ht="30">
      <c r="A5124" s="5" t="str">
        <f>HYPERLINK("https://www.oit.va.gov/Services/TRM/ToolPage.aspx?tid=15118^","NetApp PowerShell Toolkit")</f>
        <v>NetApp PowerShell Toolkit</v>
      </c>
      <c r="B5124" s="4" t="s">
        <v>11</v>
      </c>
      <c r="C5124" s="8" t="s">
        <v>5</v>
      </c>
      <c r="D5124" s="11" t="s">
        <v>3241</v>
      </c>
    </row>
    <row r="5125" spans="1:4" ht="30">
      <c r="A5125" s="5" t="str">
        <f>HYPERLINK("https://www.oit.va.gov/Services/TRM/ToolPage.aspx?tid=7509^","NoReplyAll Outlook Add-In")</f>
        <v>NoReplyAll Outlook Add-In</v>
      </c>
      <c r="B5125" s="4" t="s">
        <v>11</v>
      </c>
      <c r="C5125" s="8" t="s">
        <v>5</v>
      </c>
      <c r="D5125" s="11" t="s">
        <v>5383</v>
      </c>
    </row>
    <row r="5126" spans="1:4" ht="30">
      <c r="A5126" s="5" t="str">
        <f>HYPERLINK("https://www.oit.va.gov/Services/TRM/ToolPage.aspx?tid=5688^","PerformancePoint Server")</f>
        <v>PerformancePoint Server</v>
      </c>
      <c r="B5126" s="4" t="s">
        <v>11</v>
      </c>
      <c r="C5126" s="8" t="s">
        <v>5</v>
      </c>
      <c r="D5126" s="11" t="s">
        <v>5419</v>
      </c>
    </row>
    <row r="5127" spans="1:4" ht="30">
      <c r="A5127" s="5" t="str">
        <f>HYPERLINK("https://www.oit.va.gov/Services/TRM/ToolPage.aspx?tid=9961^","PowerShell")</f>
        <v>PowerShell</v>
      </c>
      <c r="B5127" s="4" t="s">
        <v>11</v>
      </c>
      <c r="C5127" s="8" t="s">
        <v>5</v>
      </c>
      <c r="D5127" s="11" t="s">
        <v>399</v>
      </c>
    </row>
    <row r="5128" spans="1:4" ht="30">
      <c r="A5128" s="5" t="str">
        <f>HYPERLINK("https://www.oit.va.gov/Services/TRM/ToolPage.aspx?tid=15025^","Process Monitor")</f>
        <v>Process Monitor</v>
      </c>
      <c r="B5128" s="4" t="s">
        <v>11</v>
      </c>
      <c r="C5128" s="8" t="s">
        <v>5</v>
      </c>
      <c r="D5128" s="11" t="s">
        <v>5442</v>
      </c>
    </row>
    <row r="5129" spans="1:4" ht="30">
      <c r="A5129" s="5" t="str">
        <f>HYPERLINK("https://www.oit.va.gov/Services/TRM/ToolPage.aspx?tid=11639^","SQLXML")</f>
        <v>SQLXML</v>
      </c>
      <c r="B5129" s="4" t="s">
        <v>11</v>
      </c>
      <c r="C5129" s="8" t="s">
        <v>5</v>
      </c>
      <c r="D5129" s="11" t="s">
        <v>5524</v>
      </c>
    </row>
    <row r="5130" spans="1:4" ht="30">
      <c r="A5130" s="5" t="str">
        <f>HYPERLINK("https://www.oit.va.gov/Services/TRM/ToolPage.aspx?tid=10395^","Windows Assessment and Deployment Kit (ADK)")</f>
        <v>Windows Assessment and Deployment Kit (ADK)</v>
      </c>
      <c r="B5130" s="4" t="s">
        <v>11</v>
      </c>
      <c r="C5130" s="8" t="s">
        <v>5</v>
      </c>
      <c r="D5130" s="11" t="s">
        <v>4994</v>
      </c>
    </row>
    <row r="5131" spans="1:4" ht="30">
      <c r="A5131" s="5" t="str">
        <f>HYPERLINK("https://www.oit.va.gov/Services/TRM/ToolPage.aspx?tid=10108^","Windows Mail")</f>
        <v>Windows Mail</v>
      </c>
      <c r="B5131" s="4" t="s">
        <v>11</v>
      </c>
      <c r="C5131" s="8" t="s">
        <v>5</v>
      </c>
      <c r="D5131" s="11" t="s">
        <v>3559</v>
      </c>
    </row>
    <row r="5132" spans="1:4" ht="30">
      <c r="A5132" s="5" t="str">
        <f>HYPERLINK("https://www.oit.va.gov/Services/TRM/ToolPage.aspx?tid=15067^","BlueStripe Collector")</f>
        <v>BlueStripe Collector</v>
      </c>
      <c r="B5132" s="4" t="s">
        <v>11</v>
      </c>
      <c r="C5132" s="8" t="s">
        <v>5</v>
      </c>
      <c r="D5132" s="11" t="s">
        <v>974</v>
      </c>
    </row>
    <row r="5133" spans="1:4" ht="30">
      <c r="A5133" s="5" t="str">
        <f>HYPERLINK("https://www.oit.va.gov/Services/TRM/ToolPage.aspx?tid=13828^","Geographic Heat Map Excel Add-in")</f>
        <v>Geographic Heat Map Excel Add-in</v>
      </c>
      <c r="B5133" s="4" t="s">
        <v>11</v>
      </c>
      <c r="C5133" s="8" t="s">
        <v>5</v>
      </c>
      <c r="D5133" s="11" t="s">
        <v>5628</v>
      </c>
    </row>
    <row r="5134" spans="1:4" ht="30">
      <c r="A5134" s="5" t="str">
        <f>HYPERLINK("https://www.oit.va.gov/Services/TRM/ToolPage.aspx?tid=10760^","Microsoft Access Runtime")</f>
        <v>Microsoft Access Runtime</v>
      </c>
      <c r="B5134" s="4" t="s">
        <v>11</v>
      </c>
      <c r="C5134" s="8" t="s">
        <v>5</v>
      </c>
      <c r="D5134" s="11" t="s">
        <v>433</v>
      </c>
    </row>
    <row r="5135" spans="1:4" ht="30">
      <c r="A5135" s="5" t="str">
        <f>HYPERLINK("https://www.oit.va.gov/Services/TRM/ToolPage.aspx?tid=10581^","Microsoft AppFabric for Windows Server")</f>
        <v>Microsoft AppFabric for Windows Server</v>
      </c>
      <c r="B5135" s="4" t="s">
        <v>11</v>
      </c>
      <c r="C5135" s="8" t="s">
        <v>5</v>
      </c>
      <c r="D5135" s="11" t="s">
        <v>5948</v>
      </c>
    </row>
    <row r="5136" spans="1:4" ht="30">
      <c r="A5136" s="5" t="str">
        <f>HYPERLINK("https://www.oit.va.gov/Services/TRM/ToolPage.aspx?tid=15425^","Microsoft Azure Information Protection Unified Client")</f>
        <v>Microsoft Azure Information Protection Unified Client</v>
      </c>
      <c r="B5136" s="4" t="s">
        <v>11</v>
      </c>
      <c r="C5136" s="8" t="s">
        <v>5</v>
      </c>
      <c r="D5136" s="11" t="s">
        <v>525</v>
      </c>
    </row>
    <row r="5137" spans="1:4" ht="30">
      <c r="A5137" s="5" t="str">
        <f>HYPERLINK("https://www.oit.va.gov/Services/TRM/ToolPage.aspx?tid=11052^","Microsoft Azure Recovery Services Agent")</f>
        <v>Microsoft Azure Recovery Services Agent</v>
      </c>
      <c r="B5137" s="4" t="s">
        <v>11</v>
      </c>
      <c r="C5137" s="8" t="s">
        <v>5</v>
      </c>
      <c r="D5137" s="11" t="s">
        <v>3992</v>
      </c>
    </row>
    <row r="5138" spans="1:4" ht="30">
      <c r="A5138" s="5" t="str">
        <f>HYPERLINK("https://www.oit.va.gov/Services/TRM/ToolPage.aspx?tid=14783^","Microsoft Command Line Utilities for Structured Query Language (SQL) Server")</f>
        <v>Microsoft Command Line Utilities for Structured Query Language (SQL) Server</v>
      </c>
      <c r="B5138" s="4" t="s">
        <v>11</v>
      </c>
      <c r="C5138" s="8" t="s">
        <v>5</v>
      </c>
      <c r="D5138" s="11" t="s">
        <v>4686</v>
      </c>
    </row>
    <row r="5139" spans="1:4" ht="30">
      <c r="A5139" s="5" t="str">
        <f>HYPERLINK("https://www.oit.va.gov/Services/TRM/ToolPage.aspx?tid=14394^","Microsoft Data Migration Assistant")</f>
        <v>Microsoft Data Migration Assistant</v>
      </c>
      <c r="B5139" s="4" t="s">
        <v>11</v>
      </c>
      <c r="C5139" s="8" t="s">
        <v>5</v>
      </c>
      <c r="D5139" s="11" t="s">
        <v>5949</v>
      </c>
    </row>
    <row r="5140" spans="1:4" ht="30">
      <c r="A5140" s="5" t="str">
        <f>HYPERLINK("https://www.oit.va.gov/Services/TRM/ToolPage.aspx?tid=16134^","Microsoft Office Online Server")</f>
        <v>Microsoft Office Online Server</v>
      </c>
      <c r="B5140" s="4" t="s">
        <v>11</v>
      </c>
      <c r="C5140" s="8" t="s">
        <v>5</v>
      </c>
      <c r="D5140" s="11" t="s">
        <v>1630</v>
      </c>
    </row>
    <row r="5141" spans="1:4" ht="30">
      <c r="A5141" s="5" t="str">
        <f>HYPERLINK("https://www.oit.va.gov/Services/TRM/ToolPage.aspx?tid=16220^","Microsoft Power Platform Command Line Interface")</f>
        <v>Microsoft Power Platform Command Line Interface</v>
      </c>
      <c r="B5141" s="4" t="s">
        <v>11</v>
      </c>
      <c r="C5141" s="8" t="s">
        <v>5</v>
      </c>
      <c r="D5141" s="11" t="s">
        <v>5950</v>
      </c>
    </row>
    <row r="5142" spans="1:4" ht="30">
      <c r="A5142" s="5" t="str">
        <f>HYPERLINK("https://www.oit.va.gov/Services/TRM/ToolPage.aspx?tid=15259^","Microsoft Secure/Multipurpose Internet Mail Extensions (S/MIME) Edge Addon-on")</f>
        <v>Microsoft Secure/Multipurpose Internet Mail Extensions (S/MIME) Edge Addon-on</v>
      </c>
      <c r="B5142" s="4" t="s">
        <v>11</v>
      </c>
      <c r="C5142" s="8" t="s">
        <v>5</v>
      </c>
      <c r="D5142" s="11" t="s">
        <v>969</v>
      </c>
    </row>
    <row r="5143" spans="1:4" ht="30">
      <c r="A5143" s="5" t="str">
        <f>HYPERLINK("https://www.oit.va.gov/Services/TRM/ToolPage.aspx?tid=9960^","Microsoft SQL Server Migration Assistant for Access")</f>
        <v>Microsoft SQL Server Migration Assistant for Access</v>
      </c>
      <c r="B5143" s="4" t="s">
        <v>11</v>
      </c>
      <c r="C5143" s="8" t="s">
        <v>5</v>
      </c>
      <c r="D5143" s="11" t="s">
        <v>1552</v>
      </c>
    </row>
    <row r="5144" spans="1:4" ht="30">
      <c r="A5144" s="5" t="str">
        <f>HYPERLINK("https://www.oit.va.gov/Services/TRM/ToolPage.aspx?tid=16398^","Microsoft Structured Query Langauage (SQL) Server System Common Language Runtime (CLR) Types (SQLSysCLRTypes)")</f>
        <v>Microsoft Structured Query Langauage (SQL) Server System Common Language Runtime (CLR) Types (SQLSysCLRTypes)</v>
      </c>
      <c r="B5144" s="4" t="s">
        <v>11</v>
      </c>
      <c r="C5144" s="8" t="s">
        <v>5</v>
      </c>
      <c r="D5144" s="11" t="s">
        <v>4278</v>
      </c>
    </row>
    <row r="5145" spans="1:4" ht="30">
      <c r="A5145" s="5" t="str">
        <f>HYPERLINK("https://www.oit.va.gov/Services/TRM/ToolPage.aspx?tid=10585^","Microsoft Web Deployment Tool")</f>
        <v>Microsoft Web Deployment Tool</v>
      </c>
      <c r="B5145" s="4" t="s">
        <v>11</v>
      </c>
      <c r="C5145" s="8" t="s">
        <v>5</v>
      </c>
      <c r="D5145" s="11" t="s">
        <v>1869</v>
      </c>
    </row>
    <row r="5146" spans="1:4" ht="30">
      <c r="A5146" s="5" t="str">
        <f>HYPERLINK("https://www.oit.va.gov/Services/TRM/ToolPage.aspx?tid=5671^","Microsoft Windows Software Development Kit (SDK)")</f>
        <v>Microsoft Windows Software Development Kit (SDK)</v>
      </c>
      <c r="B5146" s="4" t="s">
        <v>11</v>
      </c>
      <c r="C5146" s="8" t="s">
        <v>5</v>
      </c>
      <c r="D5146" s="11" t="s">
        <v>5951</v>
      </c>
    </row>
    <row r="5147" spans="1:4" ht="30">
      <c r="A5147" s="5" t="str">
        <f>HYPERLINK("https://www.oit.va.gov/Services/TRM/StandardPage.aspx?tid=5248^","Rich Text Format (RTF)")</f>
        <v>Rich Text Format (RTF)</v>
      </c>
      <c r="B5147" s="4" t="s">
        <v>11</v>
      </c>
      <c r="C5147" s="8" t="s">
        <v>5</v>
      </c>
      <c r="D5147" s="11" t="s">
        <v>6045</v>
      </c>
    </row>
    <row r="5148" spans="1:4" ht="30">
      <c r="A5148" s="5" t="str">
        <f>HYPERLINK("https://www.oit.va.gov/Services/TRM/ToolPage.aspx?tid=15088^","Spreadsheet Compare")</f>
        <v>Spreadsheet Compare</v>
      </c>
      <c r="B5148" s="4" t="s">
        <v>11</v>
      </c>
      <c r="C5148" s="8" t="s">
        <v>5</v>
      </c>
      <c r="D5148" s="11" t="s">
        <v>1543</v>
      </c>
    </row>
    <row r="5149" spans="1:4" ht="30">
      <c r="A5149" s="5" t="str">
        <f>HYPERLINK("https://www.oit.va.gov/Services/TRM/ToolPage.aspx?tid=13973^","Unified Service Desk Performance Analyzer")</f>
        <v>Unified Service Desk Performance Analyzer</v>
      </c>
      <c r="B5149" s="4" t="s">
        <v>11</v>
      </c>
      <c r="C5149" s="8" t="s">
        <v>5</v>
      </c>
      <c r="D5149" s="11" t="s">
        <v>6131</v>
      </c>
    </row>
    <row r="5150" spans="1:4" ht="30">
      <c r="A5150" s="5" t="str">
        <f>HYPERLINK("https://www.oit.va.gov/Services/TRM/ToolPage.aspx?tid=8378^","Windows Azure Pack")</f>
        <v>Windows Azure Pack</v>
      </c>
      <c r="B5150" s="4" t="s">
        <v>11</v>
      </c>
      <c r="C5150" s="8" t="s">
        <v>5</v>
      </c>
      <c r="D5150" s="11" t="s">
        <v>6164</v>
      </c>
    </row>
    <row r="5151" spans="1:4" ht="30">
      <c r="A5151" s="5" t="str">
        <f>HYPERLINK("https://www.oit.va.gov/Services/TRM/ToolPage.aspx?tid=11780^","Handle")</f>
        <v>Handle</v>
      </c>
      <c r="B5151" s="4" t="s">
        <v>11</v>
      </c>
      <c r="C5151" s="8" t="s">
        <v>5</v>
      </c>
      <c r="D5151" s="11" t="s">
        <v>6187</v>
      </c>
    </row>
    <row r="5152" spans="1:4" ht="30">
      <c r="A5152" s="5" t="str">
        <f>HYPERLINK("https://www.oit.va.gov/Services/TRM/ToolPage.aspx?tid=7249^","Microsoft LifeCam Cinema")</f>
        <v>Microsoft LifeCam Cinema</v>
      </c>
      <c r="B5152" s="4" t="s">
        <v>11</v>
      </c>
      <c r="C5152" s="8" t="s">
        <v>5</v>
      </c>
      <c r="D5152" s="11" t="s">
        <v>4723</v>
      </c>
    </row>
    <row r="5153" spans="1:4" ht="30">
      <c r="A5153" s="5" t="str">
        <f>HYPERLINK("https://www.oit.va.gov/Services/TRM/ToolPage.aspx?tid=13210^","Anti-Cross Site Scripting Library (AntiXSS)")</f>
        <v>Anti-Cross Site Scripting Library (AntiXSS)</v>
      </c>
      <c r="B5153" s="4" t="s">
        <v>11</v>
      </c>
      <c r="C5153" s="8" t="s">
        <v>5</v>
      </c>
      <c r="D5153" s="11" t="s">
        <v>6277</v>
      </c>
    </row>
    <row r="5154" spans="1:4" ht="30">
      <c r="A5154" s="5" t="str">
        <f>HYPERLINK("https://www.oit.va.gov/Services/TRM/ToolPage.aspx?tid=15955^","Azure Virtual Machine (VM) Agent")</f>
        <v>Azure Virtual Machine (VM) Agent</v>
      </c>
      <c r="B5154" s="4" t="s">
        <v>11</v>
      </c>
      <c r="C5154" s="8" t="s">
        <v>5</v>
      </c>
      <c r="D5154" s="11" t="s">
        <v>3766</v>
      </c>
    </row>
    <row r="5155" spans="1:4" ht="30">
      <c r="A5155" s="5" t="str">
        <f>HYPERLINK("https://www.oit.va.gov/Services/TRM/ToolPage.aspx?tid=5920^","Component Checker")</f>
        <v>Component Checker</v>
      </c>
      <c r="B5155" s="4" t="s">
        <v>11</v>
      </c>
      <c r="C5155" s="8" t="s">
        <v>5</v>
      </c>
      <c r="D5155" s="11" t="s">
        <v>6447</v>
      </c>
    </row>
    <row r="5156" spans="1:4" ht="30">
      <c r="A5156" s="5" t="str">
        <f>HYPERLINK("https://www.oit.va.gov/Services/TRM/ToolPage.aspx?tid=11596^","Device Emulator")</f>
        <v>Device Emulator</v>
      </c>
      <c r="B5156" s="4" t="s">
        <v>11</v>
      </c>
      <c r="C5156" s="8" t="s">
        <v>5</v>
      </c>
      <c r="D5156" s="11" t="s">
        <v>5347</v>
      </c>
    </row>
    <row r="5157" spans="1:4" ht="30">
      <c r="A5157" s="5" t="str">
        <f>HYPERLINK("https://www.oit.va.gov/Services/TRM/ToolPage.aspx?tid=5605^","DirectX")</f>
        <v>DirectX</v>
      </c>
      <c r="B5157" s="4" t="s">
        <v>11</v>
      </c>
      <c r="C5157" s="8" t="s">
        <v>5</v>
      </c>
      <c r="D5157" s="11" t="s">
        <v>5146</v>
      </c>
    </row>
    <row r="5158" spans="1:4" ht="30">
      <c r="A5158" s="5" t="str">
        <f>HYPERLINK("https://www.oit.va.gov/Services/TRM/ToolPage.aspx?tid=14272^","Dynamics 365 Configuration Migration Tool (CMT)")</f>
        <v>Dynamics 365 Configuration Migration Tool (CMT)</v>
      </c>
      <c r="B5158" s="4" t="s">
        <v>11</v>
      </c>
      <c r="C5158" s="8" t="s">
        <v>5</v>
      </c>
      <c r="D5158" s="11" t="s">
        <v>2637</v>
      </c>
    </row>
    <row r="5159" spans="1:4" ht="30">
      <c r="A5159" s="5" t="str">
        <f>HYPERLINK("https://www.oit.va.gov/Services/TRM/ToolPage.aspx?tid=15541^","Exchange Online PowerShell (EXO) V2 module")</f>
        <v>Exchange Online PowerShell (EXO) V2 module</v>
      </c>
      <c r="B5159" s="4" t="s">
        <v>11</v>
      </c>
      <c r="C5159" s="8" t="s">
        <v>5</v>
      </c>
      <c r="D5159" s="11" t="s">
        <v>6591</v>
      </c>
    </row>
    <row r="5160" spans="1:4" ht="30">
      <c r="A5160" s="5" t="str">
        <f>HYPERLINK("https://www.oit.va.gov/Services/TRM/ToolPage.aspx?tid=12869^","Exchange System Manager")</f>
        <v>Exchange System Manager</v>
      </c>
      <c r="B5160" s="4" t="s">
        <v>11</v>
      </c>
      <c r="C5160" s="8" t="s">
        <v>5</v>
      </c>
      <c r="D5160" s="11" t="s">
        <v>6592</v>
      </c>
    </row>
    <row r="5161" spans="1:4" ht="30">
      <c r="A5161" s="5" t="str">
        <f>HYPERLINK("https://www.oit.va.gov/Services/TRM/ToolPage.aspx?tid=6665^","FactFinder")</f>
        <v>FactFinder</v>
      </c>
      <c r="B5161" s="4" t="s">
        <v>11</v>
      </c>
      <c r="C5161" s="8" t="s">
        <v>5</v>
      </c>
      <c r="D5161" s="11" t="s">
        <v>5228</v>
      </c>
    </row>
    <row r="5162" spans="1:4" ht="30">
      <c r="A5162" s="5" t="str">
        <f>HYPERLINK("https://www.oit.va.gov/Services/TRM/ToolPage.aspx?tid=13102^","Host Integration Server (HIS)")</f>
        <v>Host Integration Server (HIS)</v>
      </c>
      <c r="B5162" s="4" t="s">
        <v>11</v>
      </c>
      <c r="C5162" s="8" t="s">
        <v>5</v>
      </c>
      <c r="D5162" s="11" t="s">
        <v>5890</v>
      </c>
    </row>
    <row r="5163" spans="1:4" ht="30">
      <c r="A5163" s="5" t="str">
        <f>HYPERLINK("https://www.oit.va.gov/Services/TRM/ToolPage.aspx?tid=7782^","Hyper-V Server (Stand-alone Edition)")</f>
        <v>Hyper-V Server (Stand-alone Edition)</v>
      </c>
      <c r="B5163" s="4" t="s">
        <v>11</v>
      </c>
      <c r="C5163" s="8" t="s">
        <v>5</v>
      </c>
      <c r="D5163" s="11" t="s">
        <v>6702</v>
      </c>
    </row>
    <row r="5164" spans="1:4" ht="30">
      <c r="A5164" s="5" t="str">
        <f>HYPERLINK("https://www.oit.va.gov/Services/TRM/ToolPage.aspx?tid=7272^","InMage Scout")</f>
        <v>InMage Scout</v>
      </c>
      <c r="B5164" s="4" t="s">
        <v>11</v>
      </c>
      <c r="C5164" s="8" t="s">
        <v>5</v>
      </c>
      <c r="D5164" s="11" t="s">
        <v>6712</v>
      </c>
    </row>
    <row r="5165" spans="1:4" ht="30">
      <c r="A5165" s="5" t="str">
        <f>HYPERLINK("https://www.oit.va.gov/Services/TRM/ToolPage.aspx?tid=13284^","Katana")</f>
        <v>Katana</v>
      </c>
      <c r="B5165" s="4" t="s">
        <v>11</v>
      </c>
      <c r="C5165" s="8" t="s">
        <v>5</v>
      </c>
      <c r="D5165" s="11" t="s">
        <v>6759</v>
      </c>
    </row>
    <row r="5166" spans="1:4" ht="30">
      <c r="A5166" s="5" t="str">
        <f>HYPERLINK("https://www.oit.va.gov/Services/TRM/ToolPage.aspx?tid=9999^","Log Off User")</f>
        <v>Log Off User</v>
      </c>
      <c r="B5166" s="4" t="s">
        <v>11</v>
      </c>
      <c r="C5166" s="8" t="s">
        <v>5</v>
      </c>
      <c r="D5166" s="11" t="s">
        <v>6795</v>
      </c>
    </row>
    <row r="5167" spans="1:4" ht="30">
      <c r="A5167" s="5" t="str">
        <f>HYPERLINK("https://www.oit.va.gov/Services/TRM/ToolPage.aspx?tid=11050^","Microsoft Azure Command Line Interface (CLI)")</f>
        <v>Microsoft Azure Command Line Interface (CLI)</v>
      </c>
      <c r="B5167" s="4" t="s">
        <v>11</v>
      </c>
      <c r="C5167" s="8" t="s">
        <v>5</v>
      </c>
      <c r="D5167" s="11" t="s">
        <v>1837</v>
      </c>
    </row>
    <row r="5168" spans="1:4" ht="30">
      <c r="A5168" s="5" t="str">
        <f>HYPERLINK("https://www.oit.va.gov/Services/TRM/ToolPage.aspx?tid=16189^","Microsoft Azure Information Protection Viewer")</f>
        <v>Microsoft Azure Information Protection Viewer</v>
      </c>
      <c r="B5168" s="4" t="s">
        <v>11</v>
      </c>
      <c r="C5168" s="8" t="s">
        <v>5</v>
      </c>
      <c r="D5168" s="11" t="s">
        <v>560</v>
      </c>
    </row>
    <row r="5169" spans="1:4" ht="30">
      <c r="A5169" s="5" t="str">
        <f>HYPERLINK("https://www.oit.va.gov/Services/TRM/ToolPage.aspx?tid=14975^","Microsoft Azure Migrate PowerShell Script")</f>
        <v>Microsoft Azure Migrate PowerShell Script</v>
      </c>
      <c r="B5169" s="4" t="s">
        <v>11</v>
      </c>
      <c r="C5169" s="8" t="s">
        <v>5</v>
      </c>
      <c r="D5169" s="11" t="s">
        <v>436</v>
      </c>
    </row>
    <row r="5170" spans="1:4" ht="30">
      <c r="A5170" s="5" t="str">
        <f>HYPERLINK("https://www.oit.va.gov/Services/TRM/ToolPage.aspx?tid=13245^","Microsoft Azure Platform AppFabric")</f>
        <v>Microsoft Azure Platform AppFabric</v>
      </c>
      <c r="B5170" s="4" t="s">
        <v>11</v>
      </c>
      <c r="C5170" s="8" t="s">
        <v>5</v>
      </c>
      <c r="D5170" s="11" t="s">
        <v>6853</v>
      </c>
    </row>
    <row r="5171" spans="1:4" ht="30">
      <c r="A5171" s="5" t="str">
        <f>HYPERLINK("https://www.oit.va.gov/Services/TRM/ToolPage.aspx?tid=11051^","Microsoft Azure PowerShell")</f>
        <v>Microsoft Azure PowerShell</v>
      </c>
      <c r="B5171" s="4" t="s">
        <v>11</v>
      </c>
      <c r="C5171" s="8" t="s">
        <v>5</v>
      </c>
      <c r="D5171" s="11" t="s">
        <v>6443</v>
      </c>
    </row>
    <row r="5172" spans="1:4" ht="30">
      <c r="A5172" s="5" t="str">
        <f>HYPERLINK("https://www.oit.va.gov/Services/TRM/ToolPage.aspx?tid=8873^","Microsoft BitLocker Administration and Monitoring (MBAM)")</f>
        <v>Microsoft BitLocker Administration and Monitoring (MBAM)</v>
      </c>
      <c r="B5172" s="4" t="s">
        <v>11</v>
      </c>
      <c r="C5172" s="8" t="s">
        <v>5</v>
      </c>
      <c r="D5172" s="11" t="s">
        <v>1071</v>
      </c>
    </row>
    <row r="5173" spans="1:4" ht="30">
      <c r="A5173" s="5" t="str">
        <f>HYPERLINK("https://www.oit.va.gov/Services/TRM/ToolPage.aspx?tid=16373^","Microsoft Build of OpenJDK")</f>
        <v>Microsoft Build of OpenJDK</v>
      </c>
      <c r="B5173" s="4" t="s">
        <v>11</v>
      </c>
      <c r="C5173" s="8" t="s">
        <v>5</v>
      </c>
      <c r="D5173" s="11" t="s">
        <v>6854</v>
      </c>
    </row>
    <row r="5174" spans="1:4" ht="30">
      <c r="A5174" s="5" t="str">
        <f>HYPERLINK("https://www.oit.va.gov/Services/TRM/ToolPage.aspx?tid=10146^","Microsoft CAPICOM")</f>
        <v>Microsoft CAPICOM</v>
      </c>
      <c r="B5174" s="4" t="s">
        <v>11</v>
      </c>
      <c r="C5174" s="8" t="s">
        <v>5</v>
      </c>
      <c r="D5174" s="11" t="s">
        <v>6841</v>
      </c>
    </row>
    <row r="5175" spans="1:4" ht="30">
      <c r="A5175" s="5" t="str">
        <f>HYPERLINK("https://www.oit.va.gov/Services/TRM/ToolPage.aspx?tid=16050^","Microsoft Defender for Endpoint (MDE) Agent")</f>
        <v>Microsoft Defender for Endpoint (MDE) Agent</v>
      </c>
      <c r="B5175" s="4" t="s">
        <v>11</v>
      </c>
      <c r="C5175" s="8" t="s">
        <v>5</v>
      </c>
      <c r="D5175" s="11" t="s">
        <v>242</v>
      </c>
    </row>
    <row r="5176" spans="1:4" ht="30">
      <c r="A5176" s="5" t="str">
        <f>HYPERLINK("https://www.oit.va.gov/Services/TRM/ToolPage.aspx?tid=16361^","Microsoft Emulator")</f>
        <v>Microsoft Emulator</v>
      </c>
      <c r="B5176" s="4" t="s">
        <v>11</v>
      </c>
      <c r="C5176" s="8" t="s">
        <v>5</v>
      </c>
      <c r="D5176" s="11" t="s">
        <v>6056</v>
      </c>
    </row>
    <row r="5177" spans="1:4" ht="30">
      <c r="A5177" s="5" t="str">
        <f>HYPERLINK("https://www.oit.va.gov/Services/TRM/ToolPage.aspx?tid=10025^","Microsoft Enhanced Mitigation Experience Toolkit (EMET)")</f>
        <v>Microsoft Enhanced Mitigation Experience Toolkit (EMET)</v>
      </c>
      <c r="B5177" s="4" t="s">
        <v>11</v>
      </c>
      <c r="C5177" s="8" t="s">
        <v>5</v>
      </c>
      <c r="D5177" s="11" t="s">
        <v>2792</v>
      </c>
    </row>
    <row r="5178" spans="1:4" ht="30">
      <c r="A5178" s="5" t="str">
        <f>HYPERLINK("https://www.oit.va.gov/Services/TRM/ToolPage.aspx?tid=5613^","Microsoft Excel Viewer")</f>
        <v>Microsoft Excel Viewer</v>
      </c>
      <c r="B5178" s="4" t="s">
        <v>11</v>
      </c>
      <c r="C5178" s="8" t="s">
        <v>5</v>
      </c>
      <c r="D5178" s="11" t="s">
        <v>6855</v>
      </c>
    </row>
    <row r="5179" spans="1:4" ht="30">
      <c r="A5179" s="5" t="str">
        <f>HYPERLINK("https://www.oit.va.gov/Services/TRM/ToolPage.aspx?tid=6056^","Microsoft Extensible Markup Language (XML) Core Services (MSXML)")</f>
        <v>Microsoft Extensible Markup Language (XML) Core Services (MSXML)</v>
      </c>
      <c r="B5179" s="4" t="s">
        <v>11</v>
      </c>
      <c r="C5179" s="8" t="s">
        <v>5</v>
      </c>
      <c r="D5179" s="11" t="s">
        <v>6856</v>
      </c>
    </row>
    <row r="5180" spans="1:4" ht="30">
      <c r="A5180" s="5" t="str">
        <f>HYPERLINK("https://www.oit.va.gov/Services/TRM/ToolPage.aspx?tid=15732^","Microsoft Git-TF for Visual Studio Team Foundation Server 2012")</f>
        <v>Microsoft Git-TF for Visual Studio Team Foundation Server 2012</v>
      </c>
      <c r="B5180" s="4" t="s">
        <v>11</v>
      </c>
      <c r="C5180" s="8" t="s">
        <v>5</v>
      </c>
      <c r="D5180" s="11" t="s">
        <v>6857</v>
      </c>
    </row>
    <row r="5181" spans="1:4" ht="30">
      <c r="A5181" s="5" t="str">
        <f>HYPERLINK("https://www.oit.va.gov/Services/TRM/ToolPage.aspx?tid=16029^","Microsoft Graph Powershell Software Development Kit (SDK)")</f>
        <v>Microsoft Graph Powershell Software Development Kit (SDK)</v>
      </c>
      <c r="B5181" s="4" t="s">
        <v>11</v>
      </c>
      <c r="C5181" s="8" t="s">
        <v>5</v>
      </c>
      <c r="D5181" s="11" t="s">
        <v>6858</v>
      </c>
    </row>
    <row r="5182" spans="1:4" ht="30">
      <c r="A5182" s="5" t="str">
        <f>HYPERLINK("https://www.oit.va.gov/Services/TRM/ToolPage.aspx?tid=10076^","Microsoft Office Proofing Tools")</f>
        <v>Microsoft Office Proofing Tools</v>
      </c>
      <c r="B5182" s="4" t="s">
        <v>11</v>
      </c>
      <c r="C5182" s="8" t="s">
        <v>5</v>
      </c>
      <c r="D5182" s="11" t="s">
        <v>6859</v>
      </c>
    </row>
    <row r="5183" spans="1:4" ht="30">
      <c r="A5183" s="5" t="str">
        <f>HYPERLINK("https://www.oit.va.gov/Services/TRM/ToolPage.aspx?tid=11712^","Microsoft OneDrive")</f>
        <v>Microsoft OneDrive</v>
      </c>
      <c r="B5183" s="4" t="s">
        <v>11</v>
      </c>
      <c r="C5183" s="8" t="s">
        <v>5</v>
      </c>
      <c r="D5183" s="11" t="s">
        <v>6860</v>
      </c>
    </row>
    <row r="5184" spans="1:4" ht="30">
      <c r="A5184" s="5" t="str">
        <f>HYPERLINK("https://www.oit.va.gov/Services/TRM/ToolPage.aspx?tid=14309^","Microsoft Plug-in Registration Tool")</f>
        <v>Microsoft Plug-in Registration Tool</v>
      </c>
      <c r="B5184" s="4" t="s">
        <v>11</v>
      </c>
      <c r="C5184" s="8" t="s">
        <v>5</v>
      </c>
      <c r="D5184" s="11" t="s">
        <v>3033</v>
      </c>
    </row>
    <row r="5185" spans="1:4" ht="30">
      <c r="A5185" s="5" t="str">
        <f>HYPERLINK("https://www.oit.va.gov/Services/TRM/ToolPage.aspx?tid=16233^","Microsoft Power Virtual Agents")</f>
        <v>Microsoft Power Virtual Agents</v>
      </c>
      <c r="B5185" s="4" t="s">
        <v>11</v>
      </c>
      <c r="C5185" s="8" t="s">
        <v>5</v>
      </c>
      <c r="D5185" s="11" t="s">
        <v>985</v>
      </c>
    </row>
    <row r="5186" spans="1:4" ht="30">
      <c r="A5186" s="5" t="str">
        <f>HYPERLINK("https://www.oit.va.gov/Services/TRM/ToolPage.aspx?tid=5696^","Microsoft PowerPoint Viewer")</f>
        <v>Microsoft PowerPoint Viewer</v>
      </c>
      <c r="B5186" s="4" t="s">
        <v>11</v>
      </c>
      <c r="C5186" s="8" t="s">
        <v>5</v>
      </c>
      <c r="D5186" s="11" t="s">
        <v>124</v>
      </c>
    </row>
    <row r="5187" spans="1:4" ht="30">
      <c r="A5187" s="5" t="str">
        <f>HYPERLINK("https://www.oit.va.gov/Services/TRM/ToolPage.aspx?tid=12873^","Microsoft Remote Desktop client for macOS")</f>
        <v>Microsoft Remote Desktop client for macOS</v>
      </c>
      <c r="B5187" s="4" t="s">
        <v>11</v>
      </c>
      <c r="C5187" s="8" t="s">
        <v>5</v>
      </c>
      <c r="D5187" s="11" t="s">
        <v>6862</v>
      </c>
    </row>
    <row r="5188" spans="1:4" ht="30">
      <c r="A5188" s="5" t="str">
        <f>HYPERLINK("https://www.oit.va.gov/Services/TRM/ToolPage.aspx?tid=15217^","Microsoft Remote Desktop Client for Windows")</f>
        <v>Microsoft Remote Desktop Client for Windows</v>
      </c>
      <c r="B5188" s="4" t="s">
        <v>11</v>
      </c>
      <c r="C5188" s="8" t="s">
        <v>5</v>
      </c>
      <c r="D5188" s="11" t="s">
        <v>6863</v>
      </c>
    </row>
    <row r="5189" spans="1:4" ht="30">
      <c r="A5189" s="5" t="str">
        <f>HYPERLINK("https://www.oit.va.gov/Services/TRM/ToolPage.aspx?tid=14692^","Microsoft Reporting Services Projects")</f>
        <v>Microsoft Reporting Services Projects</v>
      </c>
      <c r="B5189" s="4" t="s">
        <v>11</v>
      </c>
      <c r="C5189" s="8" t="s">
        <v>5</v>
      </c>
      <c r="D5189" s="11" t="s">
        <v>6864</v>
      </c>
    </row>
    <row r="5190" spans="1:4" ht="30">
      <c r="A5190" s="5" t="str">
        <f>HYPERLINK("https://www.oit.va.gov/Services/TRM/ToolPage.aspx?tid=7644^","Microsoft Service Bus for Windows Server")</f>
        <v>Microsoft Service Bus for Windows Server</v>
      </c>
      <c r="B5190" s="4" t="s">
        <v>11</v>
      </c>
      <c r="C5190" s="8" t="s">
        <v>5</v>
      </c>
      <c r="D5190" s="11" t="s">
        <v>3303</v>
      </c>
    </row>
    <row r="5191" spans="1:4" ht="30">
      <c r="A5191" s="5" t="str">
        <f>HYPERLINK("https://www.oit.va.gov/Services/TRM/ToolPage.aspx?tid=10547^","Microsoft SharePoint Foundation")</f>
        <v>Microsoft SharePoint Foundation</v>
      </c>
      <c r="B5191" s="4" t="s">
        <v>11</v>
      </c>
      <c r="C5191" s="8" t="s">
        <v>5</v>
      </c>
      <c r="D5191" s="11" t="s">
        <v>5169</v>
      </c>
    </row>
    <row r="5192" spans="1:4" ht="30">
      <c r="A5192" s="5" t="str">
        <f>HYPERLINK("https://www.oit.va.gov/Services/TRM/ToolPage.aspx?tid=5622^","Microsoft SharePoint Workspace (Groove)")</f>
        <v>Microsoft SharePoint Workspace (Groove)</v>
      </c>
      <c r="B5192" s="4" t="s">
        <v>11</v>
      </c>
      <c r="C5192" s="8" t="s">
        <v>5</v>
      </c>
      <c r="D5192" s="11" t="s">
        <v>3823</v>
      </c>
    </row>
    <row r="5193" spans="1:4" ht="30">
      <c r="A5193" s="5" t="str">
        <f>HYPERLINK("https://www.oit.va.gov/Services/TRM/ToolPage.aspx?tid=6508^","Microsoft Silverlight Plug-in")</f>
        <v>Microsoft Silverlight Plug-in</v>
      </c>
      <c r="B5193" s="4" t="s">
        <v>11</v>
      </c>
      <c r="C5193" s="8" t="s">
        <v>5</v>
      </c>
      <c r="D5193" s="11" t="s">
        <v>6865</v>
      </c>
    </row>
    <row r="5194" spans="1:4" ht="30">
      <c r="A5194" s="5" t="str">
        <f>HYPERLINK("https://www.oit.va.gov/Services/TRM/ToolPage.aspx?tid=13947^","Microsoft Sticky Notes")</f>
        <v>Microsoft Sticky Notes</v>
      </c>
      <c r="B5194" s="4" t="s">
        <v>11</v>
      </c>
      <c r="C5194" s="8" t="s">
        <v>5</v>
      </c>
      <c r="D5194" s="11" t="s">
        <v>5299</v>
      </c>
    </row>
    <row r="5195" spans="1:4" ht="30">
      <c r="A5195" s="5" t="str">
        <f>HYPERLINK("https://www.oit.va.gov/Services/TRM/ToolPage.aspx?tid=7188^","Microsoft Sync Framework")</f>
        <v>Microsoft Sync Framework</v>
      </c>
      <c r="B5195" s="4" t="s">
        <v>11</v>
      </c>
      <c r="C5195" s="8" t="s">
        <v>5</v>
      </c>
      <c r="D5195" s="11" t="s">
        <v>6866</v>
      </c>
    </row>
    <row r="5196" spans="1:4" ht="30">
      <c r="A5196" s="5" t="str">
        <f>HYPERLINK("https://www.oit.va.gov/Services/TRM/ToolPage.aspx?tid=6408^","Microsoft SyncToy")</f>
        <v>Microsoft SyncToy</v>
      </c>
      <c r="B5196" s="4" t="s">
        <v>11</v>
      </c>
      <c r="C5196" s="8" t="s">
        <v>5</v>
      </c>
      <c r="D5196" s="11" t="s">
        <v>6162</v>
      </c>
    </row>
    <row r="5197" spans="1:4" ht="30">
      <c r="A5197" s="5" t="str">
        <f>HYPERLINK("https://www.oit.va.gov/Services/TRM/ToolPage.aspx?tid=14555^","Microsoft System Center Update Publisher (SCUP)")</f>
        <v>Microsoft System Center Update Publisher (SCUP)</v>
      </c>
      <c r="B5197" s="4" t="s">
        <v>11</v>
      </c>
      <c r="C5197" s="8" t="s">
        <v>5</v>
      </c>
      <c r="D5197" s="11" t="s">
        <v>6258</v>
      </c>
    </row>
    <row r="5198" spans="1:4" ht="30">
      <c r="A5198" s="5" t="str">
        <f>HYPERLINK("https://www.oit.va.gov/Services/TRM/ToolPage.aspx?tid=16261^","Microsoft Test and Feedback Extension")</f>
        <v>Microsoft Test and Feedback Extension</v>
      </c>
      <c r="B5198" s="4" t="s">
        <v>11</v>
      </c>
      <c r="C5198" s="8" t="s">
        <v>5</v>
      </c>
      <c r="D5198" s="11" t="s">
        <v>6867</v>
      </c>
    </row>
    <row r="5199" spans="1:4" ht="30">
      <c r="A5199" s="5" t="str">
        <f>HYPERLINK("https://www.oit.va.gov/Services/TRM/ToolPage.aspx?tid=9972^","Microsoft Virtual Machine Converter")</f>
        <v>Microsoft Virtual Machine Converter</v>
      </c>
      <c r="B5199" s="4" t="s">
        <v>11</v>
      </c>
      <c r="C5199" s="8" t="s">
        <v>5</v>
      </c>
      <c r="D5199" s="11" t="s">
        <v>6868</v>
      </c>
    </row>
    <row r="5200" spans="1:4" ht="30">
      <c r="A5200" s="5" t="str">
        <f>HYPERLINK("https://www.oit.va.gov/Services/TRM/ToolPage.aspx?tid=16348^","Microsoft Visio Data Visualize Add-in for Excel and Power Business Intelligence (PowerBI)")</f>
        <v>Microsoft Visio Data Visualize Add-in for Excel and Power Business Intelligence (PowerBI)</v>
      </c>
      <c r="B5200" s="4" t="s">
        <v>11</v>
      </c>
      <c r="C5200" s="8" t="s">
        <v>5</v>
      </c>
      <c r="D5200" s="11" t="s">
        <v>6869</v>
      </c>
    </row>
    <row r="5201" spans="1:4" ht="30">
      <c r="A5201" s="5" t="str">
        <f>HYPERLINK("https://www.oit.va.gov/Services/TRM/ToolPage.aspx?tid=5784^","Microsoft Word Viewer")</f>
        <v>Microsoft Word Viewer</v>
      </c>
      <c r="B5201" s="4" t="s">
        <v>11</v>
      </c>
      <c r="C5201" s="8" t="s">
        <v>5</v>
      </c>
      <c r="D5201" s="11" t="s">
        <v>6870</v>
      </c>
    </row>
    <row r="5202" spans="1:4" ht="30">
      <c r="A5202" s="5" t="str">
        <f>HYPERLINK("https://www.oit.va.gov/Services/TRM/ToolPage.aspx?tid=10322^","NuGet")</f>
        <v>NuGet</v>
      </c>
      <c r="B5202" s="4" t="s">
        <v>11</v>
      </c>
      <c r="C5202" s="8" t="s">
        <v>5</v>
      </c>
      <c r="D5202" s="11" t="s">
        <v>66</v>
      </c>
    </row>
    <row r="5203" spans="1:4" ht="30">
      <c r="A5203" s="5" t="str">
        <f>HYPERLINK("https://www.oit.va.gov/Services/TRM/ToolPage.aspx?tid=14295^","Package Deployer")</f>
        <v>Package Deployer</v>
      </c>
      <c r="B5203" s="4" t="s">
        <v>11</v>
      </c>
      <c r="C5203" s="8" t="s">
        <v>5</v>
      </c>
      <c r="D5203" s="11" t="s">
        <v>6986</v>
      </c>
    </row>
    <row r="5204" spans="1:4" ht="30">
      <c r="A5204" s="5" t="str">
        <f>HYPERLINK("https://www.oit.va.gov/Services/TRM/ToolPage.aspx?tid=7087^","Power Pivot for Microsoft Excel")</f>
        <v>Power Pivot for Microsoft Excel</v>
      </c>
      <c r="B5204" s="4" t="s">
        <v>11</v>
      </c>
      <c r="C5204" s="8" t="s">
        <v>5</v>
      </c>
      <c r="D5204" s="11" t="s">
        <v>804</v>
      </c>
    </row>
    <row r="5205" spans="1:4" ht="30">
      <c r="A5205" s="5" t="str">
        <f>HYPERLINK("https://www.oit.va.gov/Services/TRM/ToolPage.aspx?tid=15213^","ProcDump")</f>
        <v>ProcDump</v>
      </c>
      <c r="B5205" s="4" t="s">
        <v>11</v>
      </c>
      <c r="C5205" s="8" t="s">
        <v>5</v>
      </c>
      <c r="D5205" s="11" t="s">
        <v>3057</v>
      </c>
    </row>
    <row r="5206" spans="1:4" ht="30">
      <c r="A5206" s="5" t="str">
        <f>HYPERLINK("https://www.oit.va.gov/Services/TRM/ToolPage.aspx?tid=10744^","Python Tools for Visual Studio (PTVS)")</f>
        <v>Python Tools for Visual Studio (PTVS)</v>
      </c>
      <c r="B5206" s="4" t="s">
        <v>11</v>
      </c>
      <c r="C5206" s="8" t="s">
        <v>5</v>
      </c>
      <c r="D5206" s="11" t="s">
        <v>7045</v>
      </c>
    </row>
    <row r="5207" spans="1:4" ht="30">
      <c r="A5207" s="5" t="str">
        <f>HYPERLINK("https://www.oit.va.gov/Services/TRM/ToolPage.aspx?tid=11568^","Release Management for Visual Studio")</f>
        <v>Release Management for Visual Studio</v>
      </c>
      <c r="B5207" s="4" t="s">
        <v>11</v>
      </c>
      <c r="C5207" s="8" t="s">
        <v>5</v>
      </c>
      <c r="D5207" s="11" t="s">
        <v>939</v>
      </c>
    </row>
    <row r="5208" spans="1:4" ht="30">
      <c r="A5208" s="5" t="str">
        <f>HYPERLINK("https://www.oit.va.gov/Services/TRM/ToolPage.aspx?tid=14790^","SharePoint Migration Tool (SPMT)")</f>
        <v>SharePoint Migration Tool (SPMT)</v>
      </c>
      <c r="B5208" s="4" t="s">
        <v>11</v>
      </c>
      <c r="C5208" s="8" t="s">
        <v>5</v>
      </c>
      <c r="D5208" s="11" t="s">
        <v>4094</v>
      </c>
    </row>
    <row r="5209" spans="1:4" ht="30">
      <c r="A5209" s="5" t="str">
        <f>HYPERLINK("https://www.oit.va.gov/Services/TRM/ToolPage.aspx?tid=14308^","SharePoint Online Management Shell")</f>
        <v>SharePoint Online Management Shell</v>
      </c>
      <c r="B5209" s="4" t="s">
        <v>11</v>
      </c>
      <c r="C5209" s="8" t="s">
        <v>5</v>
      </c>
      <c r="D5209" s="11" t="s">
        <v>2944</v>
      </c>
    </row>
    <row r="5210" spans="1:4" ht="30">
      <c r="A5210" s="5" t="str">
        <f>HYPERLINK("https://www.oit.va.gov/Services/TRM/ToolPage.aspx?tid=6442^","Skype")</f>
        <v>Skype</v>
      </c>
      <c r="B5210" s="4" t="s">
        <v>11</v>
      </c>
      <c r="C5210" s="8" t="s">
        <v>5</v>
      </c>
      <c r="D5210" s="11" t="s">
        <v>7148</v>
      </c>
    </row>
    <row r="5211" spans="1:4" ht="30">
      <c r="A5211" s="5" t="str">
        <f>HYPERLINK("https://www.oit.va.gov/Services/TRM/ToolPage.aspx?tid=14722^","Sysmon")</f>
        <v>Sysmon</v>
      </c>
      <c r="B5211" s="4" t="s">
        <v>11</v>
      </c>
      <c r="C5211" s="8" t="s">
        <v>5</v>
      </c>
      <c r="D5211" s="11" t="s">
        <v>5552</v>
      </c>
    </row>
    <row r="5212" spans="1:4" ht="30">
      <c r="A5212" s="5" t="str">
        <f>HYPERLINK("https://www.oit.va.gov/Services/TRM/ToolPage.aspx?tid=9883^","TypeScript")</f>
        <v>TypeScript</v>
      </c>
      <c r="B5212" s="4" t="s">
        <v>11</v>
      </c>
      <c r="C5212" s="8" t="s">
        <v>5</v>
      </c>
      <c r="D5212" s="11" t="s">
        <v>7260</v>
      </c>
    </row>
    <row r="5213" spans="1:4" ht="30">
      <c r="A5213" s="5" t="str">
        <f>HYPERLINK("https://www.oit.va.gov/Services/TRM/ToolPage.aspx?tid=6743^","Visual C++ Redistributable Package")</f>
        <v>Visual C++ Redistributable Package</v>
      </c>
      <c r="B5213" s="4" t="s">
        <v>11</v>
      </c>
      <c r="C5213" s="8" t="s">
        <v>5</v>
      </c>
      <c r="D5213" s="11" t="s">
        <v>7298</v>
      </c>
    </row>
    <row r="5214" spans="1:4" ht="30">
      <c r="A5214" s="5" t="str">
        <f>HYPERLINK("https://www.oit.va.gov/Services/TRM/ToolPage.aspx?tid=11463^","Visual Studio LightSwitch")</f>
        <v>Visual Studio LightSwitch</v>
      </c>
      <c r="B5214" s="4" t="s">
        <v>11</v>
      </c>
      <c r="C5214" s="8" t="s">
        <v>5</v>
      </c>
      <c r="D5214" s="11" t="s">
        <v>7301</v>
      </c>
    </row>
    <row r="5215" spans="1:4" ht="30">
      <c r="A5215" s="5" t="str">
        <f>HYPERLINK("https://www.oit.va.gov/Services/TRM/ToolPage.aspx?tid=12851^","Visual Studio Runtime")</f>
        <v>Visual Studio Runtime</v>
      </c>
      <c r="B5215" s="4" t="s">
        <v>11</v>
      </c>
      <c r="C5215" s="8" t="s">
        <v>5</v>
      </c>
      <c r="D5215" s="11" t="s">
        <v>7302</v>
      </c>
    </row>
    <row r="5216" spans="1:4" ht="30">
      <c r="A5216" s="5" t="str">
        <f>HYPERLINK("https://www.oit.va.gov/Services/TRM/ToolPage.aspx?tid=9988^","Visual Studio Software Development Kit (SDK)")</f>
        <v>Visual Studio Software Development Kit (SDK)</v>
      </c>
      <c r="B5216" s="4" t="s">
        <v>11</v>
      </c>
      <c r="C5216" s="8" t="s">
        <v>5</v>
      </c>
      <c r="D5216" s="11" t="s">
        <v>7303</v>
      </c>
    </row>
    <row r="5217" spans="1:4" ht="30">
      <c r="A5217" s="5" t="str">
        <f>HYPERLINK("https://www.oit.va.gov/Services/TRM/ToolPage.aspx?tid=13951^","Windows Driver Kit (WDK)")</f>
        <v>Windows Driver Kit (WDK)</v>
      </c>
      <c r="B5217" s="4" t="s">
        <v>11</v>
      </c>
      <c r="C5217" s="8" t="s">
        <v>5</v>
      </c>
      <c r="D5217" s="11" t="s">
        <v>5017</v>
      </c>
    </row>
    <row r="5218" spans="1:4" ht="30">
      <c r="A5218" s="5" t="str">
        <f>HYPERLINK("https://www.oit.va.gov/Services/TRM/ToolPage.aspx?tid=11534^","Windows Imaging Component (WIC)")</f>
        <v>Windows Imaging Component (WIC)</v>
      </c>
      <c r="B5218" s="4" t="s">
        <v>11</v>
      </c>
      <c r="C5218" s="8" t="s">
        <v>5</v>
      </c>
      <c r="D5218" s="11" t="s">
        <v>7330</v>
      </c>
    </row>
    <row r="5219" spans="1:4" ht="30">
      <c r="A5219" s="5" t="str">
        <f>HYPERLINK("https://www.oit.va.gov/Services/TRM/ToolPage.aspx?tid=14422^","Windows Subsystem for Linux (WSL)")</f>
        <v>Windows Subsystem for Linux (WSL)</v>
      </c>
      <c r="B5219" s="4" t="s">
        <v>11</v>
      </c>
      <c r="C5219" s="8" t="s">
        <v>5</v>
      </c>
      <c r="D5219" s="11" t="s">
        <v>900</v>
      </c>
    </row>
    <row r="5220" spans="1:4" ht="30">
      <c r="A5220" s="5" t="str">
        <f>HYPERLINK("https://www.oit.va.gov/Services/TRM/ToolPage.aspx?tid=16118^","Windows Terminal")</f>
        <v>Windows Terminal</v>
      </c>
      <c r="B5220" s="4" t="s">
        <v>11</v>
      </c>
      <c r="C5220" s="8" t="s">
        <v>5</v>
      </c>
      <c r="D5220" s="11" t="s">
        <v>1123</v>
      </c>
    </row>
    <row r="5221" spans="1:4" ht="30">
      <c r="A5221" s="5" t="str">
        <f>HYPERLINK("https://www.oit.va.gov/Services/TRM/ToolPage.aspx?tid=11797^","AccessChk")</f>
        <v>AccessChk</v>
      </c>
      <c r="B5221" s="4" t="s">
        <v>11</v>
      </c>
      <c r="C5221" s="8" t="s">
        <v>5</v>
      </c>
      <c r="D5221" s="11" t="s">
        <v>7375</v>
      </c>
    </row>
    <row r="5222" spans="1:4" ht="30">
      <c r="A5222" s="5" t="str">
        <f>HYPERLINK("https://www.oit.va.gov/Services/TRM/ToolPage.aspx?tid=15893^","AdaptiveCards")</f>
        <v>AdaptiveCards</v>
      </c>
      <c r="B5222" s="4" t="s">
        <v>11</v>
      </c>
      <c r="C5222" s="8" t="s">
        <v>5</v>
      </c>
      <c r="D5222" s="11" t="s">
        <v>7396</v>
      </c>
    </row>
    <row r="5223" spans="1:4" ht="30">
      <c r="A5223" s="5" t="str">
        <f>HYPERLINK("https://www.oit.va.gov/Services/TRM/ToolPage.aspx?tid=10210^","ADInsight")</f>
        <v>ADInsight</v>
      </c>
      <c r="B5223" s="4" t="s">
        <v>11</v>
      </c>
      <c r="C5223" s="8" t="s">
        <v>5</v>
      </c>
      <c r="D5223" s="11" t="s">
        <v>5540</v>
      </c>
    </row>
    <row r="5224" spans="1:4" ht="30">
      <c r="A5224" s="5" t="str">
        <f>HYPERLINK("https://www.oit.va.gov/Services/TRM/ToolPage.aspx?tid=10405^","Application Virtualization (App-V) Client")</f>
        <v>Application Virtualization (App-V) Client</v>
      </c>
      <c r="B5224" s="4" t="s">
        <v>11</v>
      </c>
      <c r="C5224" s="8" t="s">
        <v>5</v>
      </c>
      <c r="D5224" s="11" t="s">
        <v>5062</v>
      </c>
    </row>
    <row r="5225" spans="1:4" ht="30">
      <c r="A5225" s="5" t="str">
        <f>HYPERLINK("https://www.oit.va.gov/Services/TRM/ToolPage.aspx?tid=13130^","AutoLaunch for Windows Embedded Compact (CE)")</f>
        <v>AutoLaunch for Windows Embedded Compact (CE)</v>
      </c>
      <c r="B5225" s="4" t="s">
        <v>11</v>
      </c>
      <c r="C5225" s="8" t="s">
        <v>5</v>
      </c>
      <c r="D5225" s="11" t="s">
        <v>7257</v>
      </c>
    </row>
    <row r="5226" spans="1:4" ht="30">
      <c r="A5226" s="5" t="str">
        <f>HYPERLINK("https://www.oit.va.gov/Services/TRM/ToolPage.aspx?tid=5580^","Bing Bar")</f>
        <v>Bing Bar</v>
      </c>
      <c r="B5226" s="4" t="s">
        <v>11</v>
      </c>
      <c r="C5226" s="8" t="s">
        <v>5</v>
      </c>
      <c r="D5226" s="11" t="s">
        <v>2080</v>
      </c>
    </row>
    <row r="5227" spans="1:4" ht="30">
      <c r="A5227" s="5" t="str">
        <f>HYPERLINK("https://www.oit.va.gov/Services/TRM/ToolPage.aspx?tid=14875^","Bing Desktop")</f>
        <v>Bing Desktop</v>
      </c>
      <c r="B5227" s="4" t="s">
        <v>11</v>
      </c>
      <c r="C5227" s="8" t="s">
        <v>5</v>
      </c>
      <c r="D5227" s="11" t="s">
        <v>1152</v>
      </c>
    </row>
    <row r="5228" spans="1:4" ht="30">
      <c r="A5228" s="5" t="str">
        <f>HYPERLINK("https://www.oit.va.gov/Services/TRM/ToolPage.aspx?tid=5581^","Bing Rewards Client Installer")</f>
        <v>Bing Rewards Client Installer</v>
      </c>
      <c r="B5228" s="4" t="s">
        <v>11</v>
      </c>
      <c r="C5228" s="8" t="s">
        <v>5</v>
      </c>
      <c r="D5228" s="11" t="s">
        <v>6136</v>
      </c>
    </row>
    <row r="5229" spans="1:4" ht="30">
      <c r="A5229" s="5" t="str">
        <f>HYPERLINK("https://www.oit.va.gov/Services/TRM/StandardPage.aspx?tid=6244^","Bitmap Image File (BMP)")</f>
        <v>Bitmap Image File (BMP)</v>
      </c>
      <c r="B5229" s="4" t="s">
        <v>11</v>
      </c>
      <c r="C5229" s="8" t="s">
        <v>5</v>
      </c>
      <c r="D5229" s="11" t="s">
        <v>1409</v>
      </c>
    </row>
    <row r="5230" spans="1:4" ht="30">
      <c r="A5230" s="5" t="str">
        <f>HYPERLINK("https://www.oit.va.gov/Services/TRM/ToolPage.aspx?tid=5915^","Collaboration Data Objects (CDO)")</f>
        <v>Collaboration Data Objects (CDO)</v>
      </c>
      <c r="B5230" s="4" t="s">
        <v>11</v>
      </c>
      <c r="C5230" s="8" t="s">
        <v>5</v>
      </c>
      <c r="D5230" s="11" t="s">
        <v>7673</v>
      </c>
    </row>
    <row r="5231" spans="1:4" ht="30">
      <c r="A5231" s="5" t="str">
        <f>HYPERLINK("https://www.oit.va.gov/Services/TRM/ToolPage.aspx?tid=13918^","CosmosDB Emulator")</f>
        <v>CosmosDB Emulator</v>
      </c>
      <c r="B5231" s="4" t="s">
        <v>11</v>
      </c>
      <c r="C5231" s="8" t="s">
        <v>5</v>
      </c>
      <c r="D5231" s="11" t="s">
        <v>6087</v>
      </c>
    </row>
    <row r="5232" spans="1:4" ht="30">
      <c r="A5232" s="5" t="str">
        <f>HYPERLINK("https://www.oit.va.gov/Services/TRM/ToolPage.aspx?tid=10089^","Datazen Publisher")</f>
        <v>Datazen Publisher</v>
      </c>
      <c r="B5232" s="4" t="s">
        <v>11</v>
      </c>
      <c r="C5232" s="8" t="s">
        <v>5</v>
      </c>
      <c r="D5232" s="11" t="s">
        <v>6553</v>
      </c>
    </row>
    <row r="5233" spans="1:4" ht="30">
      <c r="A5233" s="5" t="str">
        <f>HYPERLINK("https://www.oit.va.gov/Services/TRM/ToolPage.aspx?tid=10471^","Desktops")</f>
        <v>Desktops</v>
      </c>
      <c r="B5233" s="4" t="s">
        <v>11</v>
      </c>
      <c r="C5233" s="8" t="s">
        <v>5</v>
      </c>
      <c r="D5233" s="11" t="s">
        <v>7754</v>
      </c>
    </row>
    <row r="5234" spans="1:4" ht="30">
      <c r="A5234" s="5" t="str">
        <f>HYPERLINK("https://www.oit.va.gov/Services/TRM/ToolPage.aspx?tid=11154^","Diagnostics and Recovery Toolset (DaRT)")</f>
        <v>Diagnostics and Recovery Toolset (DaRT)</v>
      </c>
      <c r="B5234" s="4" t="s">
        <v>11</v>
      </c>
      <c r="C5234" s="8" t="s">
        <v>5</v>
      </c>
      <c r="D5234" s="11" t="s">
        <v>7755</v>
      </c>
    </row>
    <row r="5235" spans="1:4" ht="30">
      <c r="A5235" s="5" t="str">
        <f>HYPERLINK("https://www.oit.va.gov/Services/TRM/ToolPage.aspx?tid=13181^","Excel Add-in: Extensible Markup Language (XML) Tools Add-in")</f>
        <v>Excel Add-in: Extensible Markup Language (XML) Tools Add-in</v>
      </c>
      <c r="B5235" s="4" t="s">
        <v>11</v>
      </c>
      <c r="C5235" s="8" t="s">
        <v>5</v>
      </c>
      <c r="D5235" s="11" t="s">
        <v>7889</v>
      </c>
    </row>
    <row r="5236" spans="1:4" ht="30">
      <c r="A5236" s="5" t="str">
        <f>HYPERLINK("https://www.oit.va.gov/Services/TRM/ToolPage.aspx?tid=11121^","Expression Design")</f>
        <v>Expression Design</v>
      </c>
      <c r="B5236" s="4" t="s">
        <v>11</v>
      </c>
      <c r="C5236" s="8" t="s">
        <v>5</v>
      </c>
      <c r="D5236" s="11" t="s">
        <v>7343</v>
      </c>
    </row>
    <row r="5237" spans="1:4" ht="30">
      <c r="A5237" s="5" t="str">
        <f>HYPERLINK("https://www.oit.va.gov/Services/TRM/ToolPage.aspx?tid=10535^","File Transfer Manager")</f>
        <v>File Transfer Manager</v>
      </c>
      <c r="B5237" s="4" t="s">
        <v>11</v>
      </c>
      <c r="C5237" s="8" t="s">
        <v>5</v>
      </c>
      <c r="D5237" s="11" t="s">
        <v>5079</v>
      </c>
    </row>
    <row r="5238" spans="1:4" ht="30">
      <c r="A5238" s="5" t="str">
        <f>HYPERLINK("https://www.oit.va.gov/Services/TRM/ToolPage.aspx?tid=10584^","Frontpage Server Extensions")</f>
        <v>Frontpage Server Extensions</v>
      </c>
      <c r="B5238" s="4" t="s">
        <v>11</v>
      </c>
      <c r="C5238" s="8" t="s">
        <v>5</v>
      </c>
      <c r="D5238" s="11" t="s">
        <v>3402</v>
      </c>
    </row>
    <row r="5239" spans="1:4" ht="30">
      <c r="A5239" s="5" t="str">
        <f>HYPERLINK("https://www.oit.va.gov/Services/TRM/ToolPage.aspx?tid=15904^","Fuzzy Lookup Add-In for Excel")</f>
        <v>Fuzzy Lookup Add-In for Excel</v>
      </c>
      <c r="B5239" s="4" t="s">
        <v>11</v>
      </c>
      <c r="C5239" s="8" t="s">
        <v>5</v>
      </c>
      <c r="D5239" s="11" t="s">
        <v>7967</v>
      </c>
    </row>
    <row r="5240" spans="1:4" ht="30">
      <c r="A5240" s="5" t="str">
        <f>HYPERLINK("https://www.oit.va.gov/Services/TRM/ToolPage.aspx?tid=6593^","FxCop")</f>
        <v>FxCop</v>
      </c>
      <c r="B5240" s="4" t="s">
        <v>11</v>
      </c>
      <c r="C5240" s="8" t="s">
        <v>5</v>
      </c>
      <c r="D5240" s="11" t="s">
        <v>7943</v>
      </c>
    </row>
    <row r="5241" spans="1:4" ht="30">
      <c r="A5241" s="5" t="str">
        <f>HYPERLINK("https://www.oit.va.gov/Services/TRM/ToolPage.aspx?tid=13045^","Hypertext Markup Language (HTML) Help Workshop")</f>
        <v>Hypertext Markup Language (HTML) Help Workshop</v>
      </c>
      <c r="B5241" s="4" t="s">
        <v>11</v>
      </c>
      <c r="C5241" s="8" t="s">
        <v>5</v>
      </c>
      <c r="D5241" s="11" t="s">
        <v>8045</v>
      </c>
    </row>
    <row r="5242" spans="1:4" ht="30">
      <c r="A5242" s="5" t="str">
        <f>HYPERLINK("https://www.oit.va.gov/Services/TRM/ToolPage.aspx?tid=5625^","Internet Information Services (IIS) Resource Kit")</f>
        <v>Internet Information Services (IIS) Resource Kit</v>
      </c>
      <c r="B5242" s="4" t="s">
        <v>11</v>
      </c>
      <c r="C5242" s="8" t="s">
        <v>5</v>
      </c>
      <c r="D5242" s="11" t="s">
        <v>7304</v>
      </c>
    </row>
    <row r="5243" spans="1:4" ht="30">
      <c r="A5243" s="5" t="str">
        <f>HYPERLINK("https://www.oit.va.gov/Services/TRM/ToolPage.aspx?tid=8176^","Kinect for Windows Software Development Kit (SDK)")</f>
        <v>Kinect for Windows Software Development Kit (SDK)</v>
      </c>
      <c r="B5243" s="4" t="s">
        <v>11</v>
      </c>
      <c r="C5243" s="8" t="s">
        <v>5</v>
      </c>
      <c r="D5243" s="11" t="s">
        <v>8152</v>
      </c>
    </row>
    <row r="5244" spans="1:4" ht="30">
      <c r="A5244" s="5" t="str">
        <f>HYPERLINK("https://www.oit.va.gov/Services/TRM/ToolPage.aspx?tid=8997^","Least-Privileged User Account (LUA) Buglight")</f>
        <v>Least-Privileged User Account (LUA) Buglight</v>
      </c>
      <c r="B5244" s="4" t="s">
        <v>11</v>
      </c>
      <c r="C5244" s="8" t="s">
        <v>5</v>
      </c>
      <c r="D5244" s="11" t="s">
        <v>8168</v>
      </c>
    </row>
    <row r="5245" spans="1:4" ht="30">
      <c r="A5245" s="5" t="str">
        <f>HYPERLINK("https://www.oit.va.gov/Services/TRM/ToolPage.aspx?tid=6055^","Managed DirectX")</f>
        <v>Managed DirectX</v>
      </c>
      <c r="B5245" s="4" t="s">
        <v>11</v>
      </c>
      <c r="C5245" s="8" t="s">
        <v>5</v>
      </c>
      <c r="D5245" s="11" t="s">
        <v>8214</v>
      </c>
    </row>
    <row r="5246" spans="1:4" ht="30">
      <c r="A5246" s="5" t="str">
        <f>HYPERLINK("https://www.oit.va.gov/Services/TRM/ToolPage.aspx?tid=6526^","Microsoft Biztalk Server")</f>
        <v>Microsoft Biztalk Server</v>
      </c>
      <c r="B5246" s="4" t="s">
        <v>11</v>
      </c>
      <c r="C5246" s="8" t="s">
        <v>5</v>
      </c>
      <c r="D5246" s="11" t="s">
        <v>3303</v>
      </c>
    </row>
    <row r="5247" spans="1:4" ht="30">
      <c r="A5247" s="5" t="str">
        <f>HYPERLINK("https://www.oit.va.gov/Services/TRM/ToolPage.aspx?tid=5656^","Microsoft Bookshelf")</f>
        <v>Microsoft Bookshelf</v>
      </c>
      <c r="B5247" s="4" t="s">
        <v>11</v>
      </c>
      <c r="C5247" s="8" t="s">
        <v>5</v>
      </c>
      <c r="D5247" s="11" t="s">
        <v>7257</v>
      </c>
    </row>
    <row r="5248" spans="1:4" ht="30">
      <c r="A5248" s="5" t="str">
        <f>HYPERLINK("https://www.oit.va.gov/Services/TRM/ToolPage.aspx?tid=9959^","Microsoft Configuration Manager Trace (CMTrace)")</f>
        <v>Microsoft Configuration Manager Trace (CMTrace)</v>
      </c>
      <c r="B5248" s="4" t="s">
        <v>11</v>
      </c>
      <c r="C5248" s="8" t="s">
        <v>5</v>
      </c>
      <c r="D5248" s="11" t="s">
        <v>436</v>
      </c>
    </row>
    <row r="5249" spans="1:4" ht="30">
      <c r="A5249" s="5" t="str">
        <f>HYPERLINK("https://www.oit.va.gov/Services/TRM/ToolPage.aspx?tid=16764^","Microsoft Copilot")</f>
        <v>Microsoft Copilot</v>
      </c>
      <c r="B5249" s="4" t="s">
        <v>11</v>
      </c>
      <c r="C5249" s="8" t="s">
        <v>5</v>
      </c>
      <c r="D5249" s="11" t="s">
        <v>1365</v>
      </c>
    </row>
    <row r="5250" spans="1:4" ht="30">
      <c r="A5250" s="5" t="str">
        <f>HYPERLINK("https://www.oit.va.gov/Services/TRM/ToolPage.aspx?tid=11791^","Microsoft Dictate")</f>
        <v>Microsoft Dictate</v>
      </c>
      <c r="B5250" s="4" t="s">
        <v>11</v>
      </c>
      <c r="C5250" s="8" t="s">
        <v>5</v>
      </c>
      <c r="D5250" s="11" t="s">
        <v>4755</v>
      </c>
    </row>
    <row r="5251" spans="1:4" ht="30">
      <c r="A5251" s="5" t="str">
        <f>HYPERLINK("https://www.oit.va.gov/Services/TRM/ToolPage.aspx?tid=10625^","Microsoft Expression Web")</f>
        <v>Microsoft Expression Web</v>
      </c>
      <c r="B5251" s="4" t="s">
        <v>11</v>
      </c>
      <c r="C5251" s="8" t="s">
        <v>5</v>
      </c>
      <c r="D5251" s="11" t="s">
        <v>8261</v>
      </c>
    </row>
    <row r="5252" spans="1:4" ht="30">
      <c r="A5252" s="5" t="str">
        <f>HYPERLINK("https://www.oit.va.gov/Services/TRM/ToolPage.aspx?tid=7082^","Microsoft Filter Pack")</f>
        <v>Microsoft Filter Pack</v>
      </c>
      <c r="B5252" s="4" t="s">
        <v>11</v>
      </c>
      <c r="C5252" s="8" t="s">
        <v>5</v>
      </c>
      <c r="D5252" s="11" t="s">
        <v>8262</v>
      </c>
    </row>
    <row r="5253" spans="1:4" ht="30">
      <c r="A5253" s="5" t="str">
        <f>HYPERLINK("https://www.oit.va.gov/Services/TRM/ToolPage.aspx?tid=8539^","Microsoft Forecaster")</f>
        <v>Microsoft Forecaster</v>
      </c>
      <c r="B5253" s="4" t="s">
        <v>11</v>
      </c>
      <c r="C5253" s="8" t="s">
        <v>5</v>
      </c>
      <c r="D5253" s="11" t="s">
        <v>6855</v>
      </c>
    </row>
    <row r="5254" spans="1:4" ht="30">
      <c r="A5254" s="5" t="str">
        <f>HYPERLINK("https://www.oit.va.gov/Services/TRM/ToolPage.aspx?tid=5615^","Microsoft FrontPage Hypertext Markup Language (HTML) Tool")</f>
        <v>Microsoft FrontPage Hypertext Markup Language (HTML) Tool</v>
      </c>
      <c r="B5254" s="4" t="s">
        <v>11</v>
      </c>
      <c r="C5254" s="8" t="s">
        <v>5</v>
      </c>
      <c r="D5254" s="11" t="s">
        <v>8263</v>
      </c>
    </row>
    <row r="5255" spans="1:4" ht="30">
      <c r="A5255" s="5" t="str">
        <f>HYPERLINK("https://www.oit.va.gov/Services/TRM/ToolPage.aspx?tid=9057^","Microsoft Jet Engine Database")</f>
        <v>Microsoft Jet Engine Database</v>
      </c>
      <c r="B5255" s="4" t="s">
        <v>11</v>
      </c>
      <c r="C5255" s="8" t="s">
        <v>5</v>
      </c>
      <c r="D5255" s="11" t="s">
        <v>8264</v>
      </c>
    </row>
    <row r="5256" spans="1:4" ht="30">
      <c r="A5256" s="5" t="str">
        <f>HYPERLINK("https://www.oit.va.gov/Services/TRM/ToolPage.aspx?tid=7083^","Microsoft MapPoint")</f>
        <v>Microsoft MapPoint</v>
      </c>
      <c r="B5256" s="4" t="s">
        <v>11</v>
      </c>
      <c r="C5256" s="8" t="s">
        <v>5</v>
      </c>
      <c r="D5256" s="11" t="s">
        <v>8195</v>
      </c>
    </row>
    <row r="5257" spans="1:4" ht="30">
      <c r="A5257" s="5" t="str">
        <f>HYPERLINK("https://www.oit.va.gov/Services/TRM/ToolPage.aspx?tid=7678^","Microsoft Mouse and Keyboard Center")</f>
        <v>Microsoft Mouse and Keyboard Center</v>
      </c>
      <c r="B5257" s="4" t="s">
        <v>11</v>
      </c>
      <c r="C5257" s="8" t="s">
        <v>5</v>
      </c>
      <c r="D5257" s="11" t="s">
        <v>436</v>
      </c>
    </row>
    <row r="5258" spans="1:4" ht="30">
      <c r="A5258" s="5" t="str">
        <f>HYPERLINK("https://www.oit.va.gov/Services/TRM/ToolPage.aspx?tid=15336^","Microsoft Office Compatibility Pack")</f>
        <v>Microsoft Office Compatibility Pack</v>
      </c>
      <c r="B5258" s="4" t="s">
        <v>11</v>
      </c>
      <c r="C5258" s="8" t="s">
        <v>5</v>
      </c>
      <c r="D5258" s="11" t="s">
        <v>8265</v>
      </c>
    </row>
    <row r="5259" spans="1:4" ht="30">
      <c r="A5259" s="5" t="str">
        <f>HYPERLINK("https://www.oit.va.gov/Services/TRM/ToolPage.aspx?tid=9237^","Microsoft Office Word Add-in For MediaWiki")</f>
        <v>Microsoft Office Word Add-in For MediaWiki</v>
      </c>
      <c r="B5259" s="4" t="s">
        <v>11</v>
      </c>
      <c r="C5259" s="8" t="s">
        <v>5</v>
      </c>
      <c r="D5259" s="11" t="s">
        <v>8266</v>
      </c>
    </row>
    <row r="5260" spans="1:4" ht="30">
      <c r="A5260" s="5" t="str">
        <f>HYPERLINK("https://www.oit.va.gov/Services/TRM/ToolPage.aspx?tid=11297^","Microsoft Online Services Sign-in Assistant")</f>
        <v>Microsoft Online Services Sign-in Assistant</v>
      </c>
      <c r="B5260" s="4" t="s">
        <v>11</v>
      </c>
      <c r="C5260" s="8" t="s">
        <v>5</v>
      </c>
      <c r="D5260" s="11" t="s">
        <v>8267</v>
      </c>
    </row>
    <row r="5261" spans="1:4" ht="30">
      <c r="A5261" s="5" t="str">
        <f>HYPERLINK("https://www.oit.va.gov/Services/TRM/ToolPage.aspx?tid=8101^","Microsoft Photo Story")</f>
        <v>Microsoft Photo Story</v>
      </c>
      <c r="B5261" s="4" t="s">
        <v>11</v>
      </c>
      <c r="C5261" s="8" t="s">
        <v>5</v>
      </c>
      <c r="D5261" s="11" t="s">
        <v>8268</v>
      </c>
    </row>
    <row r="5262" spans="1:4" ht="30">
      <c r="A5262" s="5" t="str">
        <f>HYPERLINK("https://www.oit.va.gov/Services/TRM/ToolPage.aspx?tid=10159^","Microsoft Structured Query Language (SQL) Server Database Publishing Wizard")</f>
        <v>Microsoft Structured Query Language (SQL) Server Database Publishing Wizard</v>
      </c>
      <c r="B5262" s="4" t="s">
        <v>11</v>
      </c>
      <c r="C5262" s="8" t="s">
        <v>5</v>
      </c>
      <c r="D5262" s="11" t="s">
        <v>3559</v>
      </c>
    </row>
    <row r="5263" spans="1:4" ht="30">
      <c r="A5263" s="5" t="str">
        <f>HYPERLINK("https://www.oit.va.gov/Services/TRM/ToolPage.aspx?tid=15528^","Microsoft Teams Powershell Module")</f>
        <v>Microsoft Teams Powershell Module</v>
      </c>
      <c r="B5263" s="4" t="s">
        <v>11</v>
      </c>
      <c r="C5263" s="8" t="s">
        <v>5</v>
      </c>
      <c r="D5263" s="11" t="s">
        <v>2047</v>
      </c>
    </row>
    <row r="5264" spans="1:4" ht="30">
      <c r="A5264" s="5" t="str">
        <f>HYPERLINK("https://www.oit.va.gov/Services/TRM/ToolPage.aspx?tid=15126^","Microsoft Visio Software Development Kit (SDK)")</f>
        <v>Microsoft Visio Software Development Kit (SDK)</v>
      </c>
      <c r="B5264" s="4" t="s">
        <v>11</v>
      </c>
      <c r="C5264" s="8" t="s">
        <v>5</v>
      </c>
      <c r="D5264" s="11" t="s">
        <v>2630</v>
      </c>
    </row>
    <row r="5265" spans="1:4" ht="30">
      <c r="A5265" s="5" t="str">
        <f>HYPERLINK("https://www.oit.va.gov/Services/TRM/ToolPage.aspx?tid=13724^","Microsoft Windows Application Program Interface (API) Code Pack")</f>
        <v>Microsoft Windows Application Program Interface (API) Code Pack</v>
      </c>
      <c r="B5265" s="4" t="s">
        <v>11</v>
      </c>
      <c r="C5265" s="8" t="s">
        <v>5</v>
      </c>
      <c r="D5265" s="11" t="s">
        <v>8269</v>
      </c>
    </row>
    <row r="5266" spans="1:4" ht="30">
      <c r="A5266" s="5" t="str">
        <f>HYPERLINK("https://www.oit.va.gov/Services/TRM/ToolPage.aspx?tid=6528^","Microsoft Windows Mobile Device Center")</f>
        <v>Microsoft Windows Mobile Device Center</v>
      </c>
      <c r="B5266" s="4" t="s">
        <v>11</v>
      </c>
      <c r="C5266" s="8" t="s">
        <v>5</v>
      </c>
      <c r="D5266" s="11" t="s">
        <v>6868</v>
      </c>
    </row>
    <row r="5267" spans="1:4" ht="30">
      <c r="A5267" s="5" t="str">
        <f>HYPERLINK("https://www.oit.va.gov/Services/TRM/ToolPage.aspx?tid=16151^","MicrosoftPowerBIMgmt")</f>
        <v>MicrosoftPowerBIMgmt</v>
      </c>
      <c r="B5267" s="4" t="s">
        <v>11</v>
      </c>
      <c r="C5267" s="8" t="s">
        <v>5</v>
      </c>
      <c r="D5267" s="11" t="s">
        <v>5383</v>
      </c>
    </row>
    <row r="5268" spans="1:4" ht="30">
      <c r="A5268" s="5" t="str">
        <f>HYPERLINK("https://www.oit.va.gov/Services/TRM/ToolPage.aspx?tid=16613^","Mouse Without Borders")</f>
        <v>Mouse Without Borders</v>
      </c>
      <c r="B5268" s="4" t="s">
        <v>11</v>
      </c>
      <c r="C5268" s="8" t="s">
        <v>5</v>
      </c>
      <c r="D5268" s="11" t="s">
        <v>4523</v>
      </c>
    </row>
    <row r="5269" spans="1:4" ht="30">
      <c r="A5269" s="5" t="str">
        <f>HYPERLINK("https://www.oit.va.gov/Services/TRM/ToolPage.aspx?tid=10556^","NetMeeting")</f>
        <v>NetMeeting</v>
      </c>
      <c r="B5269" s="4" t="s">
        <v>11</v>
      </c>
      <c r="C5269" s="8" t="s">
        <v>5</v>
      </c>
      <c r="D5269" s="11" t="s">
        <v>7249</v>
      </c>
    </row>
    <row r="5270" spans="1:4" ht="30">
      <c r="A5270" s="5" t="str">
        <f>HYPERLINK("https://www.oit.va.gov/Services/TRM/ToolPage.aspx?tid=11118^","Outlook Social Connector Provider for Windows Live Messenger")</f>
        <v>Outlook Social Connector Provider for Windows Live Messenger</v>
      </c>
      <c r="B5270" s="4" t="s">
        <v>11</v>
      </c>
      <c r="C5270" s="8" t="s">
        <v>5</v>
      </c>
      <c r="D5270" s="11" t="s">
        <v>7181</v>
      </c>
    </row>
    <row r="5271" spans="1:4" ht="30">
      <c r="A5271" s="5" t="str">
        <f>HYPERLINK("https://www.oit.va.gov/Services/TRM/ToolPage.aspx?tid=10562^","PolicyMaker Registry Extension")</f>
        <v>PolicyMaker Registry Extension</v>
      </c>
      <c r="B5271" s="4" t="s">
        <v>11</v>
      </c>
      <c r="C5271" s="8" t="s">
        <v>5</v>
      </c>
      <c r="D5271" s="11" t="s">
        <v>5028</v>
      </c>
    </row>
    <row r="5272" spans="1:4" ht="30">
      <c r="A5272" s="5" t="str">
        <f>HYPERLINK("https://www.oit.va.gov/Services/TRM/ToolPage.aspx?tid=15914^","Power Business Intelligence (BI) Portable Document Format (PDF) viewer visualization")</f>
        <v>Power Business Intelligence (BI) Portable Document Format (PDF) viewer visualization</v>
      </c>
      <c r="B5272" s="4" t="s">
        <v>11</v>
      </c>
      <c r="C5272" s="8" t="s">
        <v>5</v>
      </c>
      <c r="D5272" s="11" t="s">
        <v>5942</v>
      </c>
    </row>
    <row r="5273" spans="1:4" ht="30">
      <c r="A5273" s="5" t="str">
        <f>HYPERLINK("https://www.oit.va.gov/Services/TRM/ToolPage.aspx?tid=14775^","Power Business Intelligence (BI) Publisher for Excel")</f>
        <v>Power Business Intelligence (BI) Publisher for Excel</v>
      </c>
      <c r="B5273" s="4" t="s">
        <v>11</v>
      </c>
      <c r="C5273" s="8" t="s">
        <v>5</v>
      </c>
      <c r="D5273" s="11" t="s">
        <v>6360</v>
      </c>
    </row>
    <row r="5274" spans="1:4" ht="30">
      <c r="A5274" s="5" t="str">
        <f>HYPERLINK("https://www.oit.va.gov/Services/TRM/ToolPage.aspx?tid=11089^","PowerPivot for SharePoint")</f>
        <v>PowerPivot for SharePoint</v>
      </c>
      <c r="B5274" s="4" t="s">
        <v>11</v>
      </c>
      <c r="C5274" s="8" t="s">
        <v>5</v>
      </c>
      <c r="D5274" s="11" t="s">
        <v>6828</v>
      </c>
    </row>
    <row r="5275" spans="1:4" ht="30">
      <c r="A5275" s="5" t="str">
        <f>HYPERLINK("https://www.oit.va.gov/Services/TRM/ToolPage.aspx?tid=7479^","ProClarity Analytics Server")</f>
        <v>ProClarity Analytics Server</v>
      </c>
      <c r="B5275" s="4" t="s">
        <v>11</v>
      </c>
      <c r="C5275" s="8" t="s">
        <v>5</v>
      </c>
      <c r="D5275" s="11" t="s">
        <v>5194</v>
      </c>
    </row>
    <row r="5276" spans="1:4" ht="30">
      <c r="A5276" s="5" t="str">
        <f>HYPERLINK("https://www.oit.va.gov/Services/TRM/ToolPage.aspx?tid=7480^","ProClarity Desktop Professional")</f>
        <v>ProClarity Desktop Professional</v>
      </c>
      <c r="B5276" s="4" t="s">
        <v>11</v>
      </c>
      <c r="C5276" s="8" t="s">
        <v>5</v>
      </c>
      <c r="D5276" s="11" t="s">
        <v>6979</v>
      </c>
    </row>
    <row r="5277" spans="1:4" ht="30">
      <c r="A5277" s="5" t="str">
        <f>HYPERLINK("https://www.oit.va.gov/Services/TRM/ToolPage.aspx?tid=10855^","R Tools for Visual Studio (RTVS)")</f>
        <v>R Tools for Visual Studio (RTVS)</v>
      </c>
      <c r="B5277" s="4" t="s">
        <v>11</v>
      </c>
      <c r="C5277" s="8" t="s">
        <v>5</v>
      </c>
      <c r="D5277" s="11" t="s">
        <v>8274</v>
      </c>
    </row>
    <row r="5278" spans="1:4" ht="30">
      <c r="A5278" s="5" t="str">
        <f>HYPERLINK("https://www.oit.va.gov/Services/TRM/ToolPage.aspx?tid=13483^","Random Sorter for Excel")</f>
        <v>Random Sorter for Excel</v>
      </c>
      <c r="B5278" s="4" t="s">
        <v>11</v>
      </c>
      <c r="C5278" s="8" t="s">
        <v>5</v>
      </c>
      <c r="D5278" s="11" t="s">
        <v>5601</v>
      </c>
    </row>
    <row r="5279" spans="1:4" ht="30">
      <c r="A5279" s="5" t="str">
        <f>HYPERLINK("https://www.oit.va.gov/Services/TRM/ToolPage.aspx?tid=10567^","Replay Markup Language (RML) Utilities for Structured Query Language (SQL) Server")</f>
        <v>Replay Markup Language (RML) Utilities for Structured Query Language (SQL) Server</v>
      </c>
      <c r="B5279" s="4" t="s">
        <v>11</v>
      </c>
      <c r="C5279" s="8" t="s">
        <v>5</v>
      </c>
      <c r="D5279" s="11" t="s">
        <v>8559</v>
      </c>
    </row>
    <row r="5280" spans="1:4" ht="30">
      <c r="A5280" s="5" t="str">
        <f>HYPERLINK("https://www.oit.va.gov/Services/TRM/ToolPage.aspx?tid=10586^","Richcopy")</f>
        <v>Richcopy</v>
      </c>
      <c r="B5280" s="4" t="s">
        <v>11</v>
      </c>
      <c r="C5280" s="8" t="s">
        <v>5</v>
      </c>
      <c r="D5280" s="11" t="s">
        <v>8572</v>
      </c>
    </row>
    <row r="5281" spans="1:4" ht="30">
      <c r="A5281" s="5" t="str">
        <f>HYPERLINK("https://www.oit.va.gov/Services/TRM/ToolPage.aspx?tid=12822^","Scriptomatic")</f>
        <v>Scriptomatic</v>
      </c>
      <c r="B5281" s="4" t="s">
        <v>11</v>
      </c>
      <c r="C5281" s="8" t="s">
        <v>5</v>
      </c>
      <c r="D5281" s="11" t="s">
        <v>8602</v>
      </c>
    </row>
    <row r="5282" spans="1:4" ht="30">
      <c r="A5282" s="5" t="str">
        <f>HYPERLINK("https://www.oit.va.gov/Services/TRM/ToolPage.aspx?tid=10162^","ShareEnum")</f>
        <v>ShareEnum</v>
      </c>
      <c r="B5282" s="4" t="s">
        <v>11</v>
      </c>
      <c r="C5282" s="8" t="s">
        <v>5</v>
      </c>
      <c r="D5282" s="11" t="s">
        <v>7165</v>
      </c>
    </row>
    <row r="5283" spans="1:4" ht="30">
      <c r="A5283" s="5" t="str">
        <f>HYPERLINK("https://www.oit.va.gov/Services/TRM/ToolPage.aspx?tid=10976^","SharePoint Color Palette Tool")</f>
        <v>SharePoint Color Palette Tool</v>
      </c>
      <c r="B5283" s="4" t="s">
        <v>11</v>
      </c>
      <c r="C5283" s="8" t="s">
        <v>5</v>
      </c>
      <c r="D5283" s="11" t="s">
        <v>8634</v>
      </c>
    </row>
    <row r="5284" spans="1:4" ht="30">
      <c r="A5284" s="5" t="str">
        <f>HYPERLINK("https://www.oit.va.gov/Services/TRM/ToolPage.aspx?tid=14438^","SharePoint Color Pallet Tool")</f>
        <v>SharePoint Color Pallet Tool</v>
      </c>
      <c r="B5284" s="4" t="s">
        <v>11</v>
      </c>
      <c r="C5284" s="8" t="s">
        <v>5</v>
      </c>
      <c r="D5284" s="11" t="s">
        <v>468</v>
      </c>
    </row>
    <row r="5285" spans="1:4" ht="30">
      <c r="A5285" s="5" t="str">
        <f>HYPERLINK("https://www.oit.va.gov/Services/TRM/ToolPage.aspx?tid=15764^","SharePoint Online Client Components Software Development Kit (SDK)")</f>
        <v>SharePoint Online Client Components Software Development Kit (SDK)</v>
      </c>
      <c r="B5285" s="4" t="s">
        <v>11</v>
      </c>
      <c r="C5285" s="8" t="s">
        <v>5</v>
      </c>
      <c r="D5285" s="11" t="s">
        <v>8635</v>
      </c>
    </row>
    <row r="5286" spans="1:4" ht="30">
      <c r="A5286" s="5" t="str">
        <f>HYPERLINK("https://www.oit.va.gov/Services/TRM/ToolPage.aspx?tid=15016^","Shellrunas")</f>
        <v>Shellrunas</v>
      </c>
      <c r="B5286" s="4" t="s">
        <v>11</v>
      </c>
      <c r="C5286" s="8" t="s">
        <v>5</v>
      </c>
      <c r="D5286" s="11" t="s">
        <v>1077</v>
      </c>
    </row>
    <row r="5287" spans="1:4" ht="30">
      <c r="A5287" s="5" t="str">
        <f>HYPERLINK("https://www.oit.va.gov/Services/TRM/ToolPage.aspx?tid=15305^","Snip")</f>
        <v>Snip</v>
      </c>
      <c r="B5287" s="4" t="s">
        <v>11</v>
      </c>
      <c r="C5287" s="8" t="s">
        <v>5</v>
      </c>
      <c r="D5287" s="11" t="s">
        <v>8682</v>
      </c>
    </row>
    <row r="5288" spans="1:4" ht="30">
      <c r="A5288" s="5" t="str">
        <f>HYPERLINK("https://www.oit.va.gov/Services/TRM/ToolPage.aspx?tid=14343^","Team Foundation Server Power Tools")</f>
        <v>Team Foundation Server Power Tools</v>
      </c>
      <c r="B5288" s="4" t="s">
        <v>11</v>
      </c>
      <c r="C5288" s="8" t="s">
        <v>5</v>
      </c>
      <c r="D5288" s="11" t="s">
        <v>7606</v>
      </c>
    </row>
    <row r="5289" spans="1:4" ht="30">
      <c r="A5289" s="5" t="str">
        <f>HYPERLINK("https://www.oit.va.gov/Services/TRM/ToolPage.aspx?tid=14106^","Utility Spotlight Screenrecorder")</f>
        <v>Utility Spotlight Screenrecorder</v>
      </c>
      <c r="B5289" s="4" t="s">
        <v>11</v>
      </c>
      <c r="C5289" s="8" t="s">
        <v>5</v>
      </c>
      <c r="D5289" s="11" t="s">
        <v>7567</v>
      </c>
    </row>
    <row r="5290" spans="1:4" ht="30">
      <c r="A5290" s="5" t="str">
        <f>HYPERLINK("https://www.oit.va.gov/Services/TRM/ToolPage.aspx?tid=10900^","Visual FoxPro")</f>
        <v>Visual FoxPro</v>
      </c>
      <c r="B5290" s="4" t="s">
        <v>11</v>
      </c>
      <c r="C5290" s="8" t="s">
        <v>5</v>
      </c>
      <c r="D5290" s="11" t="s">
        <v>8888</v>
      </c>
    </row>
    <row r="5291" spans="1:4" ht="30">
      <c r="A5291" s="5" t="str">
        <f>HYPERLINK("https://www.oit.va.gov/Services/TRM/ToolPage.aspx?tid=11109^","Web Farm Framework (WFF)")</f>
        <v>Web Farm Framework (WFF)</v>
      </c>
      <c r="B5291" s="4" t="s">
        <v>11</v>
      </c>
      <c r="C5291" s="8" t="s">
        <v>5</v>
      </c>
      <c r="D5291" s="11" t="s">
        <v>8911</v>
      </c>
    </row>
    <row r="5292" spans="1:4" ht="30">
      <c r="A5292" s="5" t="str">
        <f>HYPERLINK("https://www.oit.va.gov/Services/TRM/ToolPage.aspx?tid=7034^","Web Services Enhancements (WSE)")</f>
        <v>Web Services Enhancements (WSE)</v>
      </c>
      <c r="B5292" s="4" t="s">
        <v>11</v>
      </c>
      <c r="C5292" s="8" t="s">
        <v>5</v>
      </c>
      <c r="D5292" s="11" t="s">
        <v>8914</v>
      </c>
    </row>
    <row r="5293" spans="1:4" ht="30">
      <c r="A5293" s="5" t="str">
        <f>HYPERLINK("https://www.oit.va.gov/Services/TRM/ToolPage.aspx?tid=11446^","WebMatrix")</f>
        <v>WebMatrix</v>
      </c>
      <c r="B5293" s="4" t="s">
        <v>11</v>
      </c>
      <c r="C5293" s="8" t="s">
        <v>5</v>
      </c>
      <c r="D5293" s="11" t="s">
        <v>8918</v>
      </c>
    </row>
    <row r="5294" spans="1:4" ht="30">
      <c r="A5294" s="5" t="str">
        <f>HYPERLINK("https://www.oit.va.gov/Services/TRM/ToolPage.aspx?tid=16133^","WinAppDriver")</f>
        <v>WinAppDriver</v>
      </c>
      <c r="B5294" s="4" t="s">
        <v>11</v>
      </c>
      <c r="C5294" s="8" t="s">
        <v>5</v>
      </c>
      <c r="D5294" s="11" t="s">
        <v>8925</v>
      </c>
    </row>
    <row r="5295" spans="1:4" ht="30">
      <c r="A5295" s="5" t="str">
        <f>HYPERLINK("https://www.oit.va.gov/Services/TRM/ToolPage.aspx?tid=10668^","Windows Communication Foundation (WCF) Rich Internet Application (RIA) Services")</f>
        <v>Windows Communication Foundation (WCF) Rich Internet Application (RIA) Services</v>
      </c>
      <c r="B5295" s="4" t="s">
        <v>11</v>
      </c>
      <c r="C5295" s="8" t="s">
        <v>5</v>
      </c>
      <c r="D5295" s="11" t="s">
        <v>8929</v>
      </c>
    </row>
    <row r="5296" spans="1:4" ht="30">
      <c r="A5296" s="5" t="str">
        <f>HYPERLINK("https://www.oit.va.gov/Services/TRM/ToolPage.aspx?tid=5766^","Windows Live Mesh")</f>
        <v>Windows Live Mesh</v>
      </c>
      <c r="B5296" s="4" t="s">
        <v>11</v>
      </c>
      <c r="C5296" s="8" t="s">
        <v>5</v>
      </c>
      <c r="D5296" s="11" t="s">
        <v>6219</v>
      </c>
    </row>
    <row r="5297" spans="1:4" ht="30">
      <c r="A5297" s="5" t="str">
        <f>HYPERLINK("https://www.oit.va.gov/Services/TRM/ToolPage.aspx?tid=5769^","Windows Live Sign-in Assistant")</f>
        <v>Windows Live Sign-in Assistant</v>
      </c>
      <c r="B5297" s="4" t="s">
        <v>11</v>
      </c>
      <c r="C5297" s="8" t="s">
        <v>5</v>
      </c>
      <c r="D5297" s="11" t="s">
        <v>8930</v>
      </c>
    </row>
    <row r="5298" spans="1:4" ht="30">
      <c r="A5298" s="5" t="str">
        <f>HYPERLINK("https://www.oit.va.gov/Services/TRM/ToolPage.aspx?tid=16499^","Windows Local Administrator Password Solution (LAPS)")</f>
        <v>Windows Local Administrator Password Solution (LAPS)</v>
      </c>
      <c r="B5298" s="4" t="s">
        <v>11</v>
      </c>
      <c r="C5298" s="8" t="s">
        <v>5</v>
      </c>
      <c r="D5298" s="11" t="s">
        <v>1952</v>
      </c>
    </row>
    <row r="5299" spans="1:4" ht="30">
      <c r="A5299" s="5" t="str">
        <f>HYPERLINK("https://www.oit.va.gov/Services/TRM/ToolPage.aspx?tid=5774^","Windows Media Center Software Development Kit (SDK)")</f>
        <v>Windows Media Center Software Development Kit (SDK)</v>
      </c>
      <c r="B5299" s="4" t="s">
        <v>11</v>
      </c>
      <c r="C5299" s="8" t="s">
        <v>5</v>
      </c>
      <c r="D5299" s="11" t="s">
        <v>8840</v>
      </c>
    </row>
    <row r="5300" spans="1:4" ht="30">
      <c r="A5300" s="5" t="str">
        <f>HYPERLINK("https://www.oit.va.gov/Services/TRM/ToolPage.aspx?tid=10042^","Windows Script Host (WSH)")</f>
        <v>Windows Script Host (WSH)</v>
      </c>
      <c r="B5300" s="4" t="s">
        <v>11</v>
      </c>
      <c r="C5300" s="8" t="s">
        <v>5</v>
      </c>
      <c r="D5300" s="11" t="s">
        <v>8932</v>
      </c>
    </row>
    <row r="5301" spans="1:4" ht="30">
      <c r="A5301" s="5" t="str">
        <f>HYPERLINK("https://www.oit.va.gov/Services/TRM/ToolPage.aspx?tid=12826^","ZoomIt")</f>
        <v>ZoomIt</v>
      </c>
      <c r="B5301" s="4" t="s">
        <v>11</v>
      </c>
      <c r="C5301" s="8" t="s">
        <v>5</v>
      </c>
      <c r="D5301" s="11" t="s">
        <v>4264</v>
      </c>
    </row>
    <row r="5302" spans="1:4" ht="30">
      <c r="A5302" s="5" t="str">
        <f>HYPERLINK("https://www.oit.va.gov/Services/TRM/ToolPage.aspx?tid=7411^","MicroStrategy ONE")</f>
        <v>MicroStrategy ONE</v>
      </c>
      <c r="B5302" s="4" t="s">
        <v>1740</v>
      </c>
      <c r="C5302" s="8" t="s">
        <v>5</v>
      </c>
      <c r="D5302" s="11" t="s">
        <v>1741</v>
      </c>
    </row>
    <row r="5303" spans="1:4" ht="30">
      <c r="A5303" s="5" t="str">
        <f>HYPERLINK("https://www.oit.va.gov/Services/TRM/ToolPage.aspx?tid=14243^","Data Capture")</f>
        <v>Data Capture</v>
      </c>
      <c r="B5303" s="4" t="s">
        <v>3243</v>
      </c>
      <c r="C5303" s="8" t="s">
        <v>5</v>
      </c>
      <c r="D5303" s="11" t="s">
        <v>3244</v>
      </c>
    </row>
    <row r="5304" spans="1:4" ht="30">
      <c r="A5304" s="5" t="str">
        <f>HYPERLINK("https://www.oit.va.gov/Services/TRM/ToolPage.aspx?tid=6983^","MyTv Legacy Video Scheduler")</f>
        <v>MyTv Legacy Video Scheduler</v>
      </c>
      <c r="B5304" s="4" t="s">
        <v>3403</v>
      </c>
      <c r="C5304" s="8" t="s">
        <v>5</v>
      </c>
      <c r="D5304" s="11" t="s">
        <v>3404</v>
      </c>
    </row>
    <row r="5305" spans="1:4" ht="30">
      <c r="A5305" s="5" t="str">
        <f>HYPERLINK("https://www.oit.va.gov/Services/TRM/ToolPage.aspx?tid=14482^","SureThing CD Labeler")</f>
        <v>SureThing CD Labeler</v>
      </c>
      <c r="B5305" s="4" t="s">
        <v>3565</v>
      </c>
      <c r="C5305" s="8" t="s">
        <v>5</v>
      </c>
      <c r="D5305" s="11" t="s">
        <v>3566</v>
      </c>
    </row>
    <row r="5306" spans="1:4" ht="30">
      <c r="A5306" s="5" t="str">
        <f>HYPERLINK("https://www.oit.va.gov/Services/TRM/ToolPage.aspx?tid=8273^","Midmark IQmanager")</f>
        <v>Midmark IQmanager</v>
      </c>
      <c r="B5306" s="4" t="s">
        <v>6871</v>
      </c>
      <c r="C5306" s="8" t="s">
        <v>5</v>
      </c>
      <c r="D5306" s="11" t="s">
        <v>328</v>
      </c>
    </row>
    <row r="5307" spans="1:4" ht="30">
      <c r="A5307" s="5" t="str">
        <f>HYPERLINK("https://www.oit.va.gov/Services/TRM/ToolPage.aspx?tid=10103^","Active User Manager")</f>
        <v>Active User Manager</v>
      </c>
      <c r="B5307" s="4" t="s">
        <v>7390</v>
      </c>
      <c r="C5307" s="8" t="s">
        <v>5</v>
      </c>
      <c r="D5307" s="11" t="s">
        <v>7391</v>
      </c>
    </row>
    <row r="5308" spans="1:4" ht="30">
      <c r="A5308" s="5" t="str">
        <f>HYPERLINK("https://www.oit.va.gov/Services/TRM/ToolPage.aspx?tid=13604^","Mikogo")</f>
        <v>Mikogo</v>
      </c>
      <c r="B5308" s="4" t="s">
        <v>8270</v>
      </c>
      <c r="C5308" s="8" t="s">
        <v>5</v>
      </c>
      <c r="D5308" s="11" t="s">
        <v>7776</v>
      </c>
    </row>
    <row r="5309" spans="1:4" ht="30">
      <c r="A5309" s="5" t="str">
        <f>HYPERLINK("https://www.oit.va.gov/Services/TRM/ToolPage.aspx?tid=11460^","MikTex")</f>
        <v>MikTex</v>
      </c>
      <c r="B5309" s="4" t="s">
        <v>5350</v>
      </c>
      <c r="C5309" s="8" t="s">
        <v>5</v>
      </c>
      <c r="D5309" s="11" t="s">
        <v>5351</v>
      </c>
    </row>
    <row r="5310" spans="1:4" ht="30">
      <c r="A5310" s="5" t="str">
        <f>HYPERLINK("https://www.oit.va.gov/Services/TRM/ToolPage.aspx?tid=16527^","CryptSetup")</f>
        <v>CryptSetup</v>
      </c>
      <c r="B5310" s="4" t="s">
        <v>5122</v>
      </c>
      <c r="C5310" s="8" t="s">
        <v>5</v>
      </c>
      <c r="D5310" s="11" t="s">
        <v>5123</v>
      </c>
    </row>
    <row r="5311" spans="1:4" ht="30">
      <c r="A5311" s="5" t="str">
        <f>HYPERLINK("https://www.oit.va.gov/Services/TRM/ToolPage.aspx?tid=14803^","Milestone Medical Macropath Pro 5")</f>
        <v>Milestone Medical Macropath Pro 5</v>
      </c>
      <c r="B5311" s="4" t="s">
        <v>4427</v>
      </c>
      <c r="C5311" s="8" t="s">
        <v>5</v>
      </c>
      <c r="D5311" s="11" t="s">
        <v>4428</v>
      </c>
    </row>
    <row r="5312" spans="1:4" ht="30">
      <c r="A5312" s="5" t="str">
        <f>HYPERLINK("https://www.oit.va.gov/Services/TRM/ToolPage.aspx?tid=14304^","Defense Medical Logistics Standard Support (DMLSS) Client")</f>
        <v>Defense Medical Logistics Standard Support (DMLSS) Client</v>
      </c>
      <c r="B5312" s="4" t="s">
        <v>1489</v>
      </c>
      <c r="C5312" s="8" t="s">
        <v>5</v>
      </c>
      <c r="D5312" s="11" t="s">
        <v>1490</v>
      </c>
    </row>
    <row r="5313" spans="1:4" ht="30">
      <c r="A5313" s="5" t="str">
        <f>HYPERLINK("https://www.oit.va.gov/Services/TRM/ToolPage.aspx?tid=14497^","Armed Forces Health Longitudinal Technology Application (AHLTA)")</f>
        <v>Armed Forces Health Longitudinal Technology Application (AHLTA)</v>
      </c>
      <c r="B5313" s="4" t="s">
        <v>1489</v>
      </c>
      <c r="C5313" s="8" t="s">
        <v>5</v>
      </c>
      <c r="D5313" s="11" t="s">
        <v>3776</v>
      </c>
    </row>
    <row r="5314" spans="1:4" ht="30">
      <c r="A5314" s="5" t="str">
        <f>HYPERLINK("https://www.oit.va.gov/Services/TRM/ToolPage.aspx?tid=14496^","Composite Health Care System (CHCS)")</f>
        <v>Composite Health Care System (CHCS)</v>
      </c>
      <c r="B5314" s="4" t="s">
        <v>1489</v>
      </c>
      <c r="C5314" s="8" t="s">
        <v>5</v>
      </c>
      <c r="D5314" s="11" t="s">
        <v>3956</v>
      </c>
    </row>
    <row r="5315" spans="1:4" ht="30">
      <c r="A5315" s="5" t="str">
        <f>HYPERLINK("https://www.oit.va.gov/Services/TRM/ToolPage.aspx?tid=16345^","HealthMain")</f>
        <v>HealthMain</v>
      </c>
      <c r="B5315" s="4" t="s">
        <v>5846</v>
      </c>
      <c r="C5315" s="8" t="s">
        <v>5</v>
      </c>
      <c r="D5315" s="11" t="s">
        <v>5847</v>
      </c>
    </row>
    <row r="5316" spans="1:4" ht="30">
      <c r="A5316" s="5" t="str">
        <f>HYPERLINK("https://www.oit.va.gov/Services/TRM/ToolPage.aspx?tid=13249^","Milliman MG-ALFA")</f>
        <v>Milliman MG-ALFA</v>
      </c>
      <c r="B5316" s="4" t="s">
        <v>3388</v>
      </c>
      <c r="C5316" s="8" t="s">
        <v>5</v>
      </c>
      <c r="D5316" s="11" t="s">
        <v>3389</v>
      </c>
    </row>
    <row r="5317" spans="1:4" ht="30">
      <c r="A5317" s="5" t="str">
        <f>HYPERLINK("https://www.oit.va.gov/Services/TRM/ToolPage.aspx?tid=9869^","Inquisit Lab")</f>
        <v>Inquisit Lab</v>
      </c>
      <c r="B5317" s="4" t="s">
        <v>2669</v>
      </c>
      <c r="C5317" s="8" t="s">
        <v>5</v>
      </c>
      <c r="D5317" s="11" t="s">
        <v>1243</v>
      </c>
    </row>
    <row r="5318" spans="1:4" ht="30">
      <c r="A5318" s="5" t="str">
        <f>HYPERLINK("https://www.oit.va.gov/Services/TRM/ToolPage.aspx?tid=8627^","Inquisit Web")</f>
        <v>Inquisit Web</v>
      </c>
      <c r="B5318" s="4" t="s">
        <v>2669</v>
      </c>
      <c r="C5318" s="8" t="s">
        <v>5</v>
      </c>
      <c r="D5318" s="11" t="s">
        <v>712</v>
      </c>
    </row>
    <row r="5319" spans="1:4" ht="30">
      <c r="A5319" s="5" t="str">
        <f>HYPERLINK("https://www.oit.va.gov/Services/TRM/ToolPage.aspx?tid=16768^","Inquisit Player")</f>
        <v>Inquisit Player</v>
      </c>
      <c r="B5319" s="4" t="s">
        <v>2669</v>
      </c>
      <c r="C5319" s="8" t="s">
        <v>5</v>
      </c>
      <c r="D5319" s="11" t="s">
        <v>5632</v>
      </c>
    </row>
    <row r="5320" spans="1:4" ht="30">
      <c r="A5320" s="5" t="str">
        <f>HYPERLINK("https://www.oit.va.gov/Services/TRM/ToolPage.aspx?tid=15550^","MIM Maestro")</f>
        <v>MIM Maestro</v>
      </c>
      <c r="B5320" s="4" t="s">
        <v>1044</v>
      </c>
      <c r="C5320" s="8" t="s">
        <v>5</v>
      </c>
      <c r="D5320" s="11" t="s">
        <v>1045</v>
      </c>
    </row>
    <row r="5321" spans="1:4" ht="30">
      <c r="A5321" s="5" t="str">
        <f>HYPERLINK("https://www.oit.va.gov/Services/TRM/ToolPage.aspx?tid=15984^","MIM SurePlan MRT")</f>
        <v>MIM SurePlan MRT</v>
      </c>
      <c r="B5321" s="4" t="s">
        <v>1044</v>
      </c>
      <c r="C5321" s="8" t="s">
        <v>5</v>
      </c>
      <c r="D5321" s="11" t="s">
        <v>1046</v>
      </c>
    </row>
    <row r="5322" spans="1:4" ht="30">
      <c r="A5322" s="5" t="str">
        <f>HYPERLINK("https://www.oit.va.gov/Services/TRM/ToolPage.aspx?tid=14628^","MIM Encore")</f>
        <v>MIM Encore</v>
      </c>
      <c r="B5322" s="4" t="s">
        <v>1044</v>
      </c>
      <c r="C5322" s="8" t="s">
        <v>5</v>
      </c>
      <c r="D5322" s="11" t="s">
        <v>1744</v>
      </c>
    </row>
    <row r="5323" spans="1:4" ht="30">
      <c r="A5323" s="5" t="str">
        <f>HYPERLINK("https://www.oit.va.gov/Services/TRM/ToolPage.aspx?tid=7356^","MIM Symphony Dx")</f>
        <v>MIM Symphony Dx</v>
      </c>
      <c r="B5323" s="4" t="s">
        <v>1044</v>
      </c>
      <c r="C5323" s="8" t="s">
        <v>5</v>
      </c>
      <c r="D5323" s="11" t="s">
        <v>1745</v>
      </c>
    </row>
    <row r="5324" spans="1:4" ht="30">
      <c r="A5324" s="5" t="str">
        <f>HYPERLINK("https://www.oit.va.gov/Services/TRM/ToolPage.aspx?tid=7379^","MIMviewer")</f>
        <v>MIMviewer</v>
      </c>
      <c r="B5324" s="4" t="s">
        <v>1044</v>
      </c>
      <c r="C5324" s="8" t="s">
        <v>5</v>
      </c>
      <c r="D5324" s="11" t="s">
        <v>1746</v>
      </c>
    </row>
    <row r="5325" spans="1:4" ht="30">
      <c r="A5325" s="5" t="str">
        <f>HYPERLINK("https://www.oit.va.gov/Services/TRM/ToolPage.aspx?tid=13903^","Mimage")</f>
        <v>Mimage</v>
      </c>
      <c r="B5325" s="4" t="s">
        <v>1044</v>
      </c>
      <c r="C5325" s="8" t="s">
        <v>5</v>
      </c>
      <c r="D5325" s="11" t="s">
        <v>3390</v>
      </c>
    </row>
    <row r="5326" spans="1:4" ht="30">
      <c r="A5326" s="5" t="str">
        <f>HYPERLINK("https://www.oit.va.gov/Services/TRM/ToolPage.aspx?tid=14393^","Mimer Structured Query Language (SQL)")</f>
        <v>Mimer Structured Query Language (SQL)</v>
      </c>
      <c r="B5326" s="4" t="s">
        <v>8271</v>
      </c>
      <c r="C5326" s="8" t="s">
        <v>5</v>
      </c>
      <c r="D5326" s="11" t="s">
        <v>8272</v>
      </c>
    </row>
    <row r="5327" spans="1:4" ht="30">
      <c r="A5327" s="5" t="str">
        <f>HYPERLINK("https://www.oit.va.gov/Services/TRM/ToolPage.aspx?tid=7984^","BioTrace+")</f>
        <v>BioTrace+</v>
      </c>
      <c r="B5327" s="4" t="s">
        <v>941</v>
      </c>
      <c r="C5327" s="8" t="s">
        <v>5</v>
      </c>
      <c r="D5327" s="11" t="s">
        <v>942</v>
      </c>
    </row>
    <row r="5328" spans="1:4" ht="30">
      <c r="A5328" s="5" t="str">
        <f>HYPERLINK("https://www.oit.va.gov/Services/TRM/ToolPage.aspx?tid=7056^","Mindjet MindManager")</f>
        <v>Mindjet MindManager</v>
      </c>
      <c r="B5328" s="4" t="s">
        <v>4430</v>
      </c>
      <c r="C5328" s="8" t="s">
        <v>5</v>
      </c>
      <c r="D5328" s="11" t="s">
        <v>4185</v>
      </c>
    </row>
    <row r="5329" spans="1:4" ht="30">
      <c r="A5329" s="5" t="str">
        <f>HYPERLINK("https://www.oit.va.gov/Services/TRM/ToolPage.aspx?tid=16813^","MindWare Electrodermal Activity (EDA) Analysis")</f>
        <v>MindWare Electrodermal Activity (EDA) Analysis</v>
      </c>
      <c r="B5329" s="4" t="s">
        <v>4431</v>
      </c>
      <c r="C5329" s="8" t="s">
        <v>5</v>
      </c>
      <c r="D5329" s="11" t="s">
        <v>4432</v>
      </c>
    </row>
    <row r="5330" spans="1:4" ht="30">
      <c r="A5330" s="5" t="str">
        <f>HYPERLINK("https://www.oit.va.gov/Services/TRM/ToolPage.aspx?tid=6966^","MindWare Heart Rate Variability (HRV) Analysis")</f>
        <v>MindWare Heart Rate Variability (HRV) Analysis</v>
      </c>
      <c r="B5330" s="4" t="s">
        <v>4431</v>
      </c>
      <c r="C5330" s="8" t="s">
        <v>5</v>
      </c>
      <c r="D5330" s="11" t="s">
        <v>2451</v>
      </c>
    </row>
    <row r="5331" spans="1:4" ht="30">
      <c r="A5331" s="5" t="str">
        <f>HYPERLINK("https://www.oit.va.gov/Services/TRM/ToolPage.aspx?tid=7584^","MindWare Study Compiler")</f>
        <v>MindWare Study Compiler</v>
      </c>
      <c r="B5331" s="4" t="s">
        <v>4431</v>
      </c>
      <c r="C5331" s="8" t="s">
        <v>5</v>
      </c>
      <c r="D5331" s="11" t="s">
        <v>4433</v>
      </c>
    </row>
    <row r="5332" spans="1:4" ht="30">
      <c r="A5332" s="5" t="str">
        <f>HYPERLINK("https://www.oit.va.gov/Services/TRM/ToolPage.aspx?tid=11492^","Mine Safety Appliances (MSA) Link Software")</f>
        <v>Mine Safety Appliances (MSA) Link Software</v>
      </c>
      <c r="B5332" s="4" t="s">
        <v>6874</v>
      </c>
      <c r="C5332" s="8" t="s">
        <v>5</v>
      </c>
      <c r="D5332" s="11" t="s">
        <v>567</v>
      </c>
    </row>
    <row r="5333" spans="1:4" ht="30">
      <c r="A5333" s="5" t="str">
        <f>HYPERLINK("https://www.oit.va.gov/Services/TRM/ToolPage.aspx?tid=6060^","Minitab Statistical Software")</f>
        <v>Minitab Statistical Software</v>
      </c>
      <c r="B5333" s="4" t="s">
        <v>435</v>
      </c>
      <c r="C5333" s="8" t="s">
        <v>5</v>
      </c>
      <c r="D5333" s="11" t="s">
        <v>436</v>
      </c>
    </row>
    <row r="5334" spans="1:4" ht="30">
      <c r="A5334" s="5" t="str">
        <f>HYPERLINK("https://www.oit.va.gov/Services/TRM/ToolPage.aspx?tid=13692^","Minitab Engage")</f>
        <v>Minitab Engage</v>
      </c>
      <c r="B5334" s="4" t="s">
        <v>435</v>
      </c>
      <c r="C5334" s="8" t="s">
        <v>5</v>
      </c>
      <c r="D5334" s="11" t="s">
        <v>1049</v>
      </c>
    </row>
    <row r="5335" spans="1:4" ht="30">
      <c r="A5335" s="5" t="str">
        <f>HYPERLINK("https://www.oit.va.gov/Services/TRM/ToolPage.aspx?tid=11105^","Minitab License Manager")</f>
        <v>Minitab License Manager</v>
      </c>
      <c r="B5335" s="4" t="s">
        <v>435</v>
      </c>
      <c r="C5335" s="8" t="s">
        <v>5</v>
      </c>
      <c r="D5335" s="11" t="s">
        <v>1050</v>
      </c>
    </row>
    <row r="5336" spans="1:4" ht="30">
      <c r="A5336" s="5" t="str">
        <f>HYPERLINK("https://www.oit.va.gov/Services/TRM/ToolPage.aspx?tid=15787^","Minitab Workspace")</f>
        <v>Minitab Workspace</v>
      </c>
      <c r="B5336" s="4" t="s">
        <v>435</v>
      </c>
      <c r="C5336" s="8" t="s">
        <v>5</v>
      </c>
      <c r="D5336" s="11" t="s">
        <v>1051</v>
      </c>
    </row>
    <row r="5337" spans="1:4" ht="30">
      <c r="A5337" s="5" t="str">
        <f>HYPERLINK("https://www.oit.va.gov/Services/TRM/ToolPage.aspx?tid=14936^","MiniTab BootStrapper")</f>
        <v>MiniTab BootStrapper</v>
      </c>
      <c r="B5337" s="4" t="s">
        <v>435</v>
      </c>
      <c r="C5337" s="8" t="s">
        <v>5</v>
      </c>
      <c r="D5337" s="11" t="s">
        <v>3391</v>
      </c>
    </row>
    <row r="5338" spans="1:4" ht="30">
      <c r="A5338" s="5" t="str">
        <f>HYPERLINK("https://www.oit.va.gov/Services/TRM/ToolPage.aspx?tid=11175^","Codelyzer")</f>
        <v>Codelyzer</v>
      </c>
      <c r="B5338" s="4" t="s">
        <v>6436</v>
      </c>
      <c r="C5338" s="8" t="s">
        <v>5</v>
      </c>
      <c r="D5338" s="11" t="s">
        <v>2483</v>
      </c>
    </row>
    <row r="5339" spans="1:4" ht="30">
      <c r="A5339" s="5" t="str">
        <f>HYPERLINK("https://www.oit.va.gov/Services/TRM/ToolPage.aspx?tid=15843^","Mirada DBx")</f>
        <v>Mirada DBx</v>
      </c>
      <c r="B5339" s="4" t="s">
        <v>3392</v>
      </c>
      <c r="C5339" s="8" t="s">
        <v>5</v>
      </c>
      <c r="D5339" s="11" t="s">
        <v>3393</v>
      </c>
    </row>
    <row r="5340" spans="1:4" ht="30">
      <c r="A5340" s="5" t="str">
        <f>HYPERLINK("https://www.oit.va.gov/Services/TRM/ToolPage.aspx?tid=14829^","Mirah")</f>
        <v>Mirah</v>
      </c>
      <c r="B5340" s="4" t="s">
        <v>6879</v>
      </c>
      <c r="C5340" s="8" t="s">
        <v>5</v>
      </c>
      <c r="D5340" s="11" t="s">
        <v>1222</v>
      </c>
    </row>
    <row r="5341" spans="1:4" ht="30">
      <c r="A5341" s="5" t="str">
        <f>HYPERLINK("https://www.oit.va.gov/Services/TRM/ToolPage.aspx?tid=15210^","Mirantis Kubernetes Engine")</f>
        <v>Mirantis Kubernetes Engine</v>
      </c>
      <c r="B5341" s="4" t="s">
        <v>1747</v>
      </c>
      <c r="C5341" s="8" t="s">
        <v>5</v>
      </c>
      <c r="D5341" s="11" t="s">
        <v>1748</v>
      </c>
    </row>
    <row r="5342" spans="1:4" ht="30">
      <c r="A5342" s="5" t="str">
        <f>HYPERLINK("https://www.oit.va.gov/Services/TRM/ToolPage.aspx?tid=15209^","Mirantis Container Runtime (MCR)")</f>
        <v>Mirantis Container Runtime (MCR)</v>
      </c>
      <c r="B5342" s="4" t="s">
        <v>1747</v>
      </c>
      <c r="C5342" s="8" t="s">
        <v>5</v>
      </c>
      <c r="D5342" s="11" t="s">
        <v>4434</v>
      </c>
    </row>
    <row r="5343" spans="1:4" ht="30">
      <c r="A5343" s="5" t="str">
        <f>HYPERLINK("https://www.oit.va.gov/Services/TRM/ToolPage.aspx?tid=15895^","Lens Desktop for Kubernetes")</f>
        <v>Lens Desktop for Kubernetes</v>
      </c>
      <c r="B5343" s="4" t="s">
        <v>1747</v>
      </c>
      <c r="C5343" s="8" t="s">
        <v>5</v>
      </c>
      <c r="D5343" s="11" t="s">
        <v>5965</v>
      </c>
    </row>
    <row r="5344" spans="1:4" ht="30">
      <c r="A5344" s="5" t="str">
        <f>HYPERLINK("https://www.oit.va.gov/Services/TRM/ToolPage.aspx?tid=16012^","Medical Internal Radiation Dose (MIRDcalc)")</f>
        <v>Medical Internal Radiation Dose (MIRDcalc)</v>
      </c>
      <c r="B5344" s="4" t="s">
        <v>4396</v>
      </c>
      <c r="C5344" s="8" t="s">
        <v>5</v>
      </c>
      <c r="D5344" s="11" t="s">
        <v>4397</v>
      </c>
    </row>
    <row r="5345" spans="1:4" ht="30">
      <c r="A5345" s="5" t="str">
        <f>HYPERLINK("https://www.oit.va.gov/Services/TRM/ToolPage.aspx?tid=8169^","Points Interactive Acupuncture Software")</f>
        <v>Points Interactive Acupuncture Software</v>
      </c>
      <c r="B5345" s="4" t="s">
        <v>8444</v>
      </c>
      <c r="C5345" s="8" t="s">
        <v>5</v>
      </c>
      <c r="D5345" s="11" t="s">
        <v>806</v>
      </c>
    </row>
    <row r="5346" spans="1:4" ht="30">
      <c r="A5346" s="5" t="str">
        <f>HYPERLINK("https://www.oit.va.gov/Services/TRM/ToolPage.aspx?tid=14290^","Instadose Reader")</f>
        <v>Instadose Reader</v>
      </c>
      <c r="B5346" s="4" t="s">
        <v>1175</v>
      </c>
      <c r="C5346" s="8" t="s">
        <v>5</v>
      </c>
      <c r="D5346" s="11" t="s">
        <v>1176</v>
      </c>
    </row>
    <row r="5347" spans="1:4" ht="30">
      <c r="A5347" s="5" t="str">
        <f>HYPERLINK("https://www.oit.va.gov/Services/TRM/ToolPage.aspx?tid=14646^","Optility")</f>
        <v>Optility</v>
      </c>
      <c r="B5347" s="4" t="s">
        <v>1175</v>
      </c>
      <c r="C5347" s="8" t="s">
        <v>5</v>
      </c>
      <c r="D5347" s="11" t="s">
        <v>3437</v>
      </c>
    </row>
    <row r="5348" spans="1:4" ht="30">
      <c r="A5348" s="5" t="str">
        <f>HYPERLINK("https://www.oit.va.gov/Services/TRM/ToolPage.aspx?tid=16875^","Mist Marvis Windows Client")</f>
        <v>Mist Marvis Windows Client</v>
      </c>
      <c r="B5348" s="4" t="s">
        <v>6880</v>
      </c>
      <c r="C5348" s="8" t="s">
        <v>5</v>
      </c>
      <c r="D5348" s="11" t="s">
        <v>5069</v>
      </c>
    </row>
    <row r="5349" spans="1:4" ht="30">
      <c r="A5349" s="5" t="str">
        <f>HYPERLINK("https://www.oit.va.gov/Services/TRM/ToolPage.aspx?tid=16186^","PnP PowerShell Module")</f>
        <v>PnP PowerShell Module</v>
      </c>
      <c r="B5349" s="4" t="s">
        <v>102</v>
      </c>
      <c r="C5349" s="8" t="s">
        <v>5</v>
      </c>
      <c r="D5349" s="11" t="s">
        <v>103</v>
      </c>
    </row>
    <row r="5350" spans="1:4" ht="30">
      <c r="A5350" s="5" t="str">
        <f>HYPERLINK("https://www.oit.va.gov/Services/TRM/ToolPage.aspx?tid=6425^","Client for URLs (cURL)")</f>
        <v>Client for URLs (cURL)</v>
      </c>
      <c r="B5350" s="4" t="s">
        <v>102</v>
      </c>
      <c r="C5350" s="8" t="s">
        <v>5</v>
      </c>
      <c r="D5350" s="11" t="s">
        <v>190</v>
      </c>
    </row>
    <row r="5351" spans="1:4" ht="30">
      <c r="A5351" s="5" t="str">
        <f>HYPERLINK("https://www.oit.va.gov/Services/TRM/StandardPage.aspx?tid=6449^","Kerberos Network Authentication Service")</f>
        <v>Kerberos Network Authentication Service</v>
      </c>
      <c r="B5351" s="4" t="s">
        <v>102</v>
      </c>
      <c r="C5351" s="8" t="s">
        <v>5</v>
      </c>
      <c r="D5351" s="11" t="s">
        <v>2269</v>
      </c>
    </row>
    <row r="5352" spans="1:4" ht="30">
      <c r="A5352" s="5" t="str">
        <f>HYPERLINK("https://www.oit.va.gov/Services/TRM/ToolPage.aspx?tid=8366^","Mitel Net Server")</f>
        <v>Mitel Net Server</v>
      </c>
      <c r="B5352" s="4" t="s">
        <v>6881</v>
      </c>
      <c r="C5352" s="8" t="s">
        <v>5</v>
      </c>
      <c r="D5352" s="11" t="s">
        <v>6882</v>
      </c>
    </row>
    <row r="5353" spans="1:4" ht="30">
      <c r="A5353" s="5" t="str">
        <f>HYPERLINK("https://www.oit.va.gov/Services/TRM/ToolPage.aspx?tid=11213^","ShoreTel Connect Contact Center (SCCC)")</f>
        <v>ShoreTel Connect Contact Center (SCCC)</v>
      </c>
      <c r="B5353" s="4" t="s">
        <v>6881</v>
      </c>
      <c r="C5353" s="8" t="s">
        <v>5</v>
      </c>
      <c r="D5353" s="11" t="s">
        <v>7107</v>
      </c>
    </row>
    <row r="5354" spans="1:4" ht="30">
      <c r="A5354" s="5" t="str">
        <f>HYPERLINK("https://www.oit.va.gov/Services/TRM/ToolPage.aspx?tid=11099^","Mitel MiVoice Connect")</f>
        <v>Mitel MiVoice Connect</v>
      </c>
      <c r="B5354" s="4" t="s">
        <v>1749</v>
      </c>
      <c r="C5354" s="8" t="s">
        <v>5</v>
      </c>
      <c r="D5354" s="11" t="s">
        <v>1750</v>
      </c>
    </row>
    <row r="5355" spans="1:4" ht="30">
      <c r="A5355" s="5" t="str">
        <f>HYPERLINK("https://www.oit.va.gov/Services/TRM/ToolPage.aspx?tid=11317^","MiContact Center Enterprise")</f>
        <v>MiContact Center Enterprise</v>
      </c>
      <c r="B5355" s="4" t="s">
        <v>1749</v>
      </c>
      <c r="C5355" s="8" t="s">
        <v>5</v>
      </c>
      <c r="D5355" s="11" t="s">
        <v>5339</v>
      </c>
    </row>
    <row r="5356" spans="1:4" ht="30">
      <c r="A5356" s="5" t="str">
        <f>HYPERLINK("https://www.oit.va.gov/Services/TRM/ToolPage.aspx?tid=10857^","Node-Rules")</f>
        <v>Node-Rules</v>
      </c>
      <c r="B5356" s="4" t="s">
        <v>8338</v>
      </c>
      <c r="C5356" s="8" t="s">
        <v>5</v>
      </c>
      <c r="D5356" s="11" t="s">
        <v>1189</v>
      </c>
    </row>
    <row r="5357" spans="1:4" ht="30">
      <c r="A5357" s="5" t="str">
        <f>HYPERLINK("https://www.oit.va.gov/Services/TRM/ToolPage.aspx?tid=10626^","Mining Audio Cues from Post-Traumatic Stress Disorder (PTSD) Interviews (MACPI)")</f>
        <v>Mining Audio Cues from Post-Traumatic Stress Disorder (PTSD) Interviews (MACPI)</v>
      </c>
      <c r="B5357" s="4" t="s">
        <v>5352</v>
      </c>
      <c r="C5357" s="8" t="s">
        <v>5</v>
      </c>
      <c r="D5357" s="11" t="s">
        <v>5353</v>
      </c>
    </row>
    <row r="5358" spans="1:4" ht="45">
      <c r="A5358" s="5" t="str">
        <f>HYPERLINK("https://www.oit.va.gov/Services/TRM/ToolPage.aspx?tid=14171^","Veterans Health Information Systems and Technology Architecture (VistA) Fast Healthcare Interoperability Resources (FHIR) Data Loader")</f>
        <v>Veterans Health Information Systems and Technology Architecture (VistA) Fast Healthcare Interoperability Resources (FHIR) Data Loader</v>
      </c>
      <c r="B5358" s="4" t="s">
        <v>5352</v>
      </c>
      <c r="C5358" s="8" t="s">
        <v>5</v>
      </c>
      <c r="D5358" s="11" t="s">
        <v>3065</v>
      </c>
    </row>
    <row r="5359" spans="1:4" ht="30">
      <c r="A5359" s="5" t="str">
        <f>HYPERLINK("https://www.oit.va.gov/Services/TRM/ToolPage.aspx?tid=10621^","Macro Scheduler")</f>
        <v>Macro Scheduler</v>
      </c>
      <c r="B5359" s="4" t="s">
        <v>752</v>
      </c>
      <c r="C5359" s="8" t="s">
        <v>5</v>
      </c>
      <c r="D5359" s="11" t="s">
        <v>753</v>
      </c>
    </row>
    <row r="5360" spans="1:4" ht="30">
      <c r="A5360" s="5" t="str">
        <f>HYPERLINK("https://www.oit.va.gov/Services/TRM/ToolPage.aspx?tid=6689^","Database Oasis")</f>
        <v>Database Oasis</v>
      </c>
      <c r="B5360" s="4" t="s">
        <v>6481</v>
      </c>
      <c r="C5360" s="8" t="s">
        <v>5</v>
      </c>
      <c r="D5360" s="11" t="s">
        <v>6482</v>
      </c>
    </row>
    <row r="5361" spans="1:4" ht="30">
      <c r="A5361" s="5" t="str">
        <f>HYPERLINK("https://www.oit.va.gov/Services/TRM/ToolPage.aspx?tid=11045^","Fluency Dispatch Server")</f>
        <v>Fluency Dispatch Server</v>
      </c>
      <c r="B5361" s="4" t="s">
        <v>6618</v>
      </c>
      <c r="C5361" s="8" t="s">
        <v>5</v>
      </c>
      <c r="D5361" s="11" t="s">
        <v>3485</v>
      </c>
    </row>
    <row r="5362" spans="1:4" ht="30">
      <c r="A5362" s="5" t="str">
        <f>HYPERLINK("https://www.oit.va.gov/Services/TRM/ToolPage.aspx?tid=11519^","JSON2HTML")</f>
        <v>JSON2HTML</v>
      </c>
      <c r="B5362" s="4" t="s">
        <v>8131</v>
      </c>
      <c r="C5362" s="8" t="s">
        <v>5</v>
      </c>
      <c r="D5362" s="11" t="s">
        <v>8132</v>
      </c>
    </row>
    <row r="5363" spans="1:4" ht="30">
      <c r="A5363" s="5" t="str">
        <f>HYPERLINK("https://www.oit.va.gov/Services/TRM/ToolPage.aspx?tid=13930^","MobaXterm")</f>
        <v>MobaXterm</v>
      </c>
      <c r="B5363" s="4" t="s">
        <v>6883</v>
      </c>
      <c r="C5363" s="8" t="s">
        <v>5</v>
      </c>
      <c r="D5363" s="11" t="s">
        <v>1756</v>
      </c>
    </row>
    <row r="5364" spans="1:4" ht="30">
      <c r="A5364" s="5" t="str">
        <f>HYPERLINK("https://www.oit.va.gov/Services/TRM/ToolPage.aspx?tid=11725^","Mobile Heartbeat Cure (MH-CURE)")</f>
        <v>Mobile Heartbeat Cure (MH-CURE)</v>
      </c>
      <c r="B5364" s="4" t="s">
        <v>5953</v>
      </c>
      <c r="C5364" s="8" t="s">
        <v>5</v>
      </c>
      <c r="D5364" s="11" t="s">
        <v>5873</v>
      </c>
    </row>
    <row r="5365" spans="1:4" ht="30">
      <c r="A5365" s="5" t="str">
        <f>HYPERLINK("https://www.oit.va.gov/Services/TRM/ToolPage.aspx?tid=9693^","DoseLab")</f>
        <v>DoseLab</v>
      </c>
      <c r="B5365" s="4" t="s">
        <v>5153</v>
      </c>
      <c r="C5365" s="8" t="s">
        <v>5</v>
      </c>
      <c r="D5365" s="11" t="s">
        <v>5154</v>
      </c>
    </row>
    <row r="5366" spans="1:4" ht="30">
      <c r="A5366" s="5" t="str">
        <f>HYPERLINK("https://www.oit.va.gov/Services/TRM/ToolPage.aspx?tid=7766^","Mockito")</f>
        <v>Mockito</v>
      </c>
      <c r="B5366" s="4" t="s">
        <v>2784</v>
      </c>
      <c r="C5366" s="8" t="s">
        <v>5</v>
      </c>
      <c r="D5366" s="11" t="s">
        <v>1476</v>
      </c>
    </row>
    <row r="5367" spans="1:4" ht="30">
      <c r="A5367" s="5" t="str">
        <f>HYPERLINK("https://www.oit.va.gov/Services/TRM/ToolPage.aspx?tid=7419^","SuperToast")</f>
        <v>SuperToast</v>
      </c>
      <c r="B5367" s="4" t="s">
        <v>5537</v>
      </c>
      <c r="C5367" s="8" t="s">
        <v>5</v>
      </c>
      <c r="D5367" s="11" t="s">
        <v>2573</v>
      </c>
    </row>
    <row r="5368" spans="1:4" ht="30">
      <c r="A5368" s="5" t="str">
        <f>HYPERLINK("https://www.oit.va.gov/Services/TRM/ToolPage.aspx?tid=16862^","Modula Warehouse Management System (WMS)")</f>
        <v>Modula Warehouse Management System (WMS)</v>
      </c>
      <c r="B5368" s="4" t="s">
        <v>4446</v>
      </c>
      <c r="C5368" s="8" t="s">
        <v>5</v>
      </c>
      <c r="D5368" s="11" t="s">
        <v>603</v>
      </c>
    </row>
    <row r="5369" spans="1:4" ht="30">
      <c r="A5369" s="5" t="str">
        <f>HYPERLINK("https://www.oit.va.gov/Services/TRM/ToolPage.aspx?tid=8387^","Modus Trex StepWatch")</f>
        <v>Modus Trex StepWatch</v>
      </c>
      <c r="B5369" s="4" t="s">
        <v>8277</v>
      </c>
      <c r="C5369" s="8" t="s">
        <v>5</v>
      </c>
      <c r="D5369" s="11" t="s">
        <v>4509</v>
      </c>
    </row>
    <row r="5370" spans="1:4" ht="30">
      <c r="A5370" s="5" t="str">
        <f>HYPERLINK("https://www.oit.va.gov/Services/TRM/ToolPage.aspx?tid=7465^","SoftMax Pro")</f>
        <v>SoftMax Pro</v>
      </c>
      <c r="B5370" s="4" t="s">
        <v>860</v>
      </c>
      <c r="C5370" s="8" t="s">
        <v>5</v>
      </c>
      <c r="D5370" s="11" t="s">
        <v>861</v>
      </c>
    </row>
    <row r="5371" spans="1:4" ht="30">
      <c r="A5371" s="5" t="str">
        <f>HYPERLINK("https://www.oit.va.gov/Services/TRM/ToolPage.aspx?tid=10886^","MetaMorph")</f>
        <v>MetaMorph</v>
      </c>
      <c r="B5371" s="4" t="s">
        <v>860</v>
      </c>
      <c r="C5371" s="8" t="s">
        <v>5</v>
      </c>
      <c r="D5371" s="11" t="s">
        <v>3390</v>
      </c>
    </row>
    <row r="5372" spans="1:4" ht="30">
      <c r="A5372" s="5" t="str">
        <f>HYPERLINK("https://www.oit.va.gov/Services/TRM/ToolPage.aspx?tid=8368^","Track-It Radio-Frequency Identification (RFID) Logger Software")</f>
        <v>Track-It Radio-Frequency Identification (RFID) Logger Software</v>
      </c>
      <c r="B5372" s="4" t="s">
        <v>4922</v>
      </c>
      <c r="C5372" s="8" t="s">
        <v>5</v>
      </c>
      <c r="D5372" s="11" t="s">
        <v>2875</v>
      </c>
    </row>
    <row r="5373" spans="1:4" ht="30">
      <c r="A5373" s="5" t="str">
        <f>HYPERLINK("https://www.oit.va.gov/Services/TRM/ToolPage.aspx?tid=5967^","EndoTool Glucose Management System")</f>
        <v>EndoTool Glucose Management System</v>
      </c>
      <c r="B5373" s="4" t="s">
        <v>5791</v>
      </c>
      <c r="C5373" s="8" t="s">
        <v>5</v>
      </c>
      <c r="D5373" s="11" t="s">
        <v>149</v>
      </c>
    </row>
    <row r="5374" spans="1:4" ht="30">
      <c r="A5374" s="5" t="str">
        <f>HYPERLINK("https://www.oit.va.gov/Services/TRM/ToolPage.aspx?tid=10755^","MonetDB")</f>
        <v>MonetDB</v>
      </c>
      <c r="B5374" s="4" t="s">
        <v>8278</v>
      </c>
      <c r="C5374" s="8" t="s">
        <v>5</v>
      </c>
      <c r="D5374" s="11" t="s">
        <v>5370</v>
      </c>
    </row>
    <row r="5375" spans="1:4" ht="30">
      <c r="A5375" s="5" t="str">
        <f>HYPERLINK("https://www.oit.va.gov/Services/TRM/ToolPage.aspx?tid=8249^","Mongo Database (MongoDB) Node.js Driver")</f>
        <v>Mongo Database (MongoDB) Node.js Driver</v>
      </c>
      <c r="B5375" s="4" t="s">
        <v>136</v>
      </c>
      <c r="C5375" s="8" t="s">
        <v>5</v>
      </c>
      <c r="D5375" s="11" t="s">
        <v>137</v>
      </c>
    </row>
    <row r="5376" spans="1:4" ht="30">
      <c r="A5376" s="5" t="str">
        <f>HYPERLINK("https://www.oit.va.gov/Services/TRM/ToolPage.aspx?tid=16719^","MongoDB Compass")</f>
        <v>MongoDB Compass</v>
      </c>
      <c r="B5376" s="4" t="s">
        <v>136</v>
      </c>
      <c r="C5376" s="8" t="s">
        <v>5</v>
      </c>
      <c r="D5376" s="11" t="s">
        <v>4449</v>
      </c>
    </row>
    <row r="5377" spans="1:4" ht="30">
      <c r="A5377" s="5" t="str">
        <f>HYPERLINK("https://www.oit.va.gov/Services/TRM/ToolPage.aspx?tid=16402^","Mongo Database (MongoDB) .Net/C# Driver")</f>
        <v>Mongo Database (MongoDB) .Net/C# Driver</v>
      </c>
      <c r="B5377" s="4" t="s">
        <v>76</v>
      </c>
      <c r="C5377" s="8" t="s">
        <v>5</v>
      </c>
      <c r="D5377" s="11" t="s">
        <v>77</v>
      </c>
    </row>
    <row r="5378" spans="1:4" ht="30">
      <c r="A5378" s="5" t="str">
        <f>HYPERLINK("https://www.oit.va.gov/Services/TRM/ToolPage.aspx?tid=13676^","MongoDB (Database) Connector for Business Intelligence (BI)")</f>
        <v>MongoDB (Database) Connector for Business Intelligence (BI)</v>
      </c>
      <c r="B5378" s="4" t="s">
        <v>76</v>
      </c>
      <c r="C5378" s="8" t="s">
        <v>5</v>
      </c>
      <c r="D5378" s="11" t="s">
        <v>231</v>
      </c>
    </row>
    <row r="5379" spans="1:4" ht="30">
      <c r="A5379" s="5" t="str">
        <f>HYPERLINK("https://www.oit.va.gov/Services/TRM/ToolPage.aspx?tid=6379^","MongoDB Enterprise Advanced")</f>
        <v>MongoDB Enterprise Advanced</v>
      </c>
      <c r="B5379" s="4" t="s">
        <v>76</v>
      </c>
      <c r="C5379" s="8" t="s">
        <v>5</v>
      </c>
      <c r="D5379" s="11" t="s">
        <v>437</v>
      </c>
    </row>
    <row r="5380" spans="1:4" ht="30">
      <c r="A5380" s="5" t="str">
        <f>HYPERLINK("https://www.oit.va.gov/Services/TRM/ToolPage.aspx?tid=14680^","MongoDB Community Server")</f>
        <v>MongoDB Community Server</v>
      </c>
      <c r="B5380" s="4" t="s">
        <v>76</v>
      </c>
      <c r="C5380" s="8" t="s">
        <v>5</v>
      </c>
      <c r="D5380" s="11" t="s">
        <v>2278</v>
      </c>
    </row>
    <row r="5381" spans="1:4" ht="30">
      <c r="A5381" s="5" t="str">
        <f>HYPERLINK("https://www.oit.va.gov/Services/TRM/ToolPage.aspx?tid=13677^","Mongo Database (MongoDB) Open Database Connectivity (ODBC) Driver")</f>
        <v>Mongo Database (MongoDB) Open Database Connectivity (ODBC) Driver</v>
      </c>
      <c r="B5381" s="4" t="s">
        <v>76</v>
      </c>
      <c r="C5381" s="8" t="s">
        <v>5</v>
      </c>
      <c r="D5381" s="11" t="s">
        <v>3396</v>
      </c>
    </row>
    <row r="5382" spans="1:4" ht="30">
      <c r="A5382" s="5" t="str">
        <f>HYPERLINK("https://www.oit.va.gov/Services/TRM/ToolPage.aspx?tid=11404^","iMonnit Enterprise")</f>
        <v>iMonnit Enterprise</v>
      </c>
      <c r="B5382" s="4" t="s">
        <v>2667</v>
      </c>
      <c r="C5382" s="8" t="s">
        <v>5</v>
      </c>
      <c r="D5382" s="11" t="s">
        <v>1664</v>
      </c>
    </row>
    <row r="5383" spans="1:4" ht="30">
      <c r="A5383" s="5" t="str">
        <f>HYPERLINK("https://www.oit.va.gov/Services/TRM/ToolPage.aspx?tid=7194^","Modular Object-Oriented Dynamic Learning Environment (Moodle)")</f>
        <v>Modular Object-Oriented Dynamic Learning Environment (Moodle)</v>
      </c>
      <c r="B5383" s="4" t="s">
        <v>3666</v>
      </c>
      <c r="C5383" s="8" t="s">
        <v>5</v>
      </c>
      <c r="D5383" s="11" t="s">
        <v>3667</v>
      </c>
    </row>
    <row r="5384" spans="1:4" ht="30">
      <c r="A5384" s="5" t="str">
        <f>HYPERLINK("https://www.oit.va.gov/Services/TRM/ToolPage.aspx?tid=10660^","Moog Protocol Library Safety System (PLSS)")</f>
        <v>Moog Protocol Library Safety System (PLSS)</v>
      </c>
      <c r="B5384" s="4" t="s">
        <v>2279</v>
      </c>
      <c r="C5384" s="8" t="s">
        <v>5</v>
      </c>
      <c r="D5384" s="11" t="s">
        <v>2280</v>
      </c>
    </row>
    <row r="5385" spans="1:4" ht="30">
      <c r="A5385" s="5" t="str">
        <f>HYPERLINK("https://www.oit.va.gov/Services/TRM/ToolPage.aspx?tid=16561^","CamTronics PathCam")</f>
        <v>CamTronics PathCam</v>
      </c>
      <c r="B5385" s="4" t="s">
        <v>2436</v>
      </c>
      <c r="C5385" s="8" t="s">
        <v>5</v>
      </c>
      <c r="D5385" s="11" t="s">
        <v>2437</v>
      </c>
    </row>
    <row r="5386" spans="1:4" ht="30">
      <c r="A5386" s="5" t="str">
        <f>HYPERLINK("https://www.oit.va.gov/Services/TRM/ToolPage.aspx?tid=9175^","ComPAS Pulmonary Function Test (PFT) Software")</f>
        <v>ComPAS Pulmonary Function Test (PFT) Software</v>
      </c>
      <c r="B5386" s="4" t="s">
        <v>2479</v>
      </c>
      <c r="C5386" s="8" t="s">
        <v>5</v>
      </c>
      <c r="D5386" s="11" t="s">
        <v>2480</v>
      </c>
    </row>
    <row r="5387" spans="1:4" ht="30">
      <c r="A5387" s="5" t="str">
        <f>HYPERLINK("https://www.oit.va.gov/Services/TRM/ToolPage.aspx?tid=10862^","JANUS VIZIA Digital Signage Software")</f>
        <v>JANUS VIZIA Digital Signage Software</v>
      </c>
      <c r="B5387" s="4" t="s">
        <v>5896</v>
      </c>
      <c r="C5387" s="8" t="s">
        <v>5</v>
      </c>
      <c r="D5387" s="11" t="s">
        <v>2534</v>
      </c>
    </row>
    <row r="5388" spans="1:4" ht="30">
      <c r="A5388" s="5" t="str">
        <f>HYPERLINK("https://www.oit.va.gov/Services/TRM/ToolPage.aspx?tid=14345^","Janus Vizia Flex Tool")</f>
        <v>Janus Vizia Flex Tool</v>
      </c>
      <c r="B5388" s="4" t="s">
        <v>5896</v>
      </c>
      <c r="C5388" s="8" t="s">
        <v>5</v>
      </c>
      <c r="D5388" s="11" t="s">
        <v>220</v>
      </c>
    </row>
    <row r="5389" spans="1:4" ht="30">
      <c r="A5389" s="5" t="str">
        <f>HYPERLINK("https://www.oit.va.gov/Services/TRM/ToolPage.aspx?tid=11508^","KeyWatcher TrueTouch")</f>
        <v>KeyWatcher TrueTouch</v>
      </c>
      <c r="B5389" s="4" t="s">
        <v>5297</v>
      </c>
      <c r="C5389" s="8" t="s">
        <v>5</v>
      </c>
      <c r="D5389" s="11" t="s">
        <v>2859</v>
      </c>
    </row>
    <row r="5390" spans="1:4" ht="30">
      <c r="A5390" s="5" t="str">
        <f>HYPERLINK("https://www.oit.va.gov/Services/TRM/ToolPage.aspx?tid=10024^","KeyPro III Key Control Software")</f>
        <v>KeyPro III Key Control Software</v>
      </c>
      <c r="B5390" s="4" t="s">
        <v>5297</v>
      </c>
      <c r="C5390" s="8" t="s">
        <v>5</v>
      </c>
      <c r="D5390" s="11" t="s">
        <v>5038</v>
      </c>
    </row>
    <row r="5391" spans="1:4" ht="30">
      <c r="A5391" s="5" t="str">
        <f>HYPERLINK("https://www.oit.va.gov/Services/TRM/ToolPage.aspx?tid=8538^","Software for Interactive Musculoskeletal Modeling (SIMM)")</f>
        <v>Software for Interactive Musculoskeletal Modeling (SIMM)</v>
      </c>
      <c r="B5391" s="4" t="s">
        <v>3125</v>
      </c>
      <c r="C5391" s="8" t="s">
        <v>5</v>
      </c>
      <c r="D5391" s="11" t="s">
        <v>3126</v>
      </c>
    </row>
    <row r="5392" spans="1:4" ht="30">
      <c r="A5392" s="5" t="str">
        <f>HYPERLINK("https://www.oit.va.gov/Services/TRM/ToolPage.aspx?tid=10611^","Cortex")</f>
        <v>Cortex</v>
      </c>
      <c r="B5392" s="4" t="s">
        <v>3125</v>
      </c>
      <c r="C5392" s="8" t="s">
        <v>5</v>
      </c>
      <c r="D5392" s="11" t="s">
        <v>485</v>
      </c>
    </row>
    <row r="5393" spans="1:4" ht="30">
      <c r="A5393" s="5" t="str">
        <f>HYPERLINK("https://www.oit.va.gov/Services/TRM/ToolPage.aspx?tid=10601^","Motion Software")</f>
        <v>Motion Software</v>
      </c>
      <c r="B5393" s="4" t="s">
        <v>5363</v>
      </c>
      <c r="C5393" s="8" t="s">
        <v>5</v>
      </c>
      <c r="D5393" s="11" t="s">
        <v>5331</v>
      </c>
    </row>
    <row r="5394" spans="1:4" ht="30">
      <c r="A5394" s="5" t="str">
        <f>HYPERLINK("https://www.oit.va.gov/Services/TRM/ToolPage.aspx?tid=11583^","Motorola WAVE 5000 (Broadband push-to-talk (PTT) solution for Workgroups")</f>
        <v>Motorola WAVE 5000 (Broadband push-to-talk (PTT) solution for Workgroups</v>
      </c>
      <c r="B5394" s="4" t="s">
        <v>5364</v>
      </c>
      <c r="C5394" s="8" t="s">
        <v>5</v>
      </c>
      <c r="D5394" s="11" t="s">
        <v>5365</v>
      </c>
    </row>
    <row r="5395" spans="1:4" ht="30">
      <c r="A5395" s="5" t="str">
        <f>HYPERLINK("https://www.oit.va.gov/Services/TRM/ToolPage.aspx?tid=15113^","Evidence Library 4 Web")</f>
        <v>Evidence Library 4 Web</v>
      </c>
      <c r="B5395" s="4" t="s">
        <v>210</v>
      </c>
      <c r="C5395" s="8" t="s">
        <v>5</v>
      </c>
      <c r="D5395" s="11" t="s">
        <v>211</v>
      </c>
    </row>
    <row r="5396" spans="1:4" ht="30">
      <c r="A5396" s="5" t="str">
        <f>HYPERLINK("https://www.oit.va.gov/Services/TRM/ToolPage.aspx?tid=11289^","APX Customer Programming Software (CPS) Radio Management")</f>
        <v>APX Customer Programming Software (CPS) Radio Management</v>
      </c>
      <c r="B5396" s="4" t="s">
        <v>210</v>
      </c>
      <c r="C5396" s="8" t="s">
        <v>5</v>
      </c>
      <c r="D5396" s="11" t="s">
        <v>924</v>
      </c>
    </row>
    <row r="5397" spans="1:4" ht="30">
      <c r="A5397" s="5" t="str">
        <f>HYPERLINK("https://www.oit.va.gov/Services/TRM/ToolPage.aspx?tid=15849^","Avigilon Camera Configuration Tool (CCT)")</f>
        <v>Avigilon Camera Configuration Tool (CCT)</v>
      </c>
      <c r="B5397" s="4" t="s">
        <v>210</v>
      </c>
      <c r="C5397" s="8" t="s">
        <v>5</v>
      </c>
      <c r="D5397" s="11" t="s">
        <v>938</v>
      </c>
    </row>
    <row r="5398" spans="1:4" ht="30">
      <c r="A5398" s="5" t="str">
        <f>HYPERLINK("https://www.oit.va.gov/Services/TRM/ToolPage.aspx?tid=16225^","VESTA Pallas E9-1-1")</f>
        <v>VESTA Pallas E9-1-1</v>
      </c>
      <c r="B5398" s="4" t="s">
        <v>210</v>
      </c>
      <c r="C5398" s="8" t="s">
        <v>5</v>
      </c>
      <c r="D5398" s="11" t="s">
        <v>442</v>
      </c>
    </row>
    <row r="5399" spans="1:4" ht="30">
      <c r="A5399" s="5" t="str">
        <f>HYPERLINK("https://www.oit.va.gov/Services/TRM/ToolPage.aspx?tid=15753^","Base Camp")</f>
        <v>Base Camp</v>
      </c>
      <c r="B5399" s="4" t="s">
        <v>6326</v>
      </c>
      <c r="C5399" s="8" t="s">
        <v>5</v>
      </c>
      <c r="D5399" s="11" t="s">
        <v>1358</v>
      </c>
    </row>
    <row r="5400" spans="1:4" ht="30">
      <c r="A5400" s="5" t="str">
        <f>HYPERLINK("https://www.oit.va.gov/Services/TRM/ToolPage.aspx?tid=13928^","MouseJ")</f>
        <v>MouseJ</v>
      </c>
      <c r="B5400" s="4" t="s">
        <v>8281</v>
      </c>
      <c r="C5400" s="8" t="s">
        <v>5</v>
      </c>
      <c r="D5400" s="11" t="s">
        <v>5360</v>
      </c>
    </row>
    <row r="5401" spans="1:4" ht="30">
      <c r="A5401" s="5" t="str">
        <f>HYPERLINK("https://www.oit.va.gov/Services/TRM/ToolPage.aspx?tid=15042^","MouthWatch Capture")</f>
        <v>MouthWatch Capture</v>
      </c>
      <c r="B5401" s="4" t="s">
        <v>1054</v>
      </c>
      <c r="C5401" s="8" t="s">
        <v>5</v>
      </c>
      <c r="D5401" s="11" t="s">
        <v>1055</v>
      </c>
    </row>
    <row r="5402" spans="1:4" ht="30">
      <c r="A5402" s="5" t="str">
        <f>HYPERLINK("https://www.oit.va.gov/Services/TRM/ToolPage.aspx?tid=13954^","Movavi Video Editor")</f>
        <v>Movavi Video Editor</v>
      </c>
      <c r="B5402" s="4" t="s">
        <v>4459</v>
      </c>
      <c r="C5402" s="8" t="s">
        <v>5</v>
      </c>
      <c r="D5402" s="11" t="s">
        <v>4460</v>
      </c>
    </row>
    <row r="5403" spans="1:4" ht="30">
      <c r="A5403" s="5" t="str">
        <f>HYPERLINK("https://www.oit.va.gov/Services/TRM/ToolPage.aspx?tid=16879^","MT Manager Software")</f>
        <v>MT Manager Software</v>
      </c>
      <c r="B5403" s="4" t="s">
        <v>1757</v>
      </c>
      <c r="C5403" s="8" t="s">
        <v>5</v>
      </c>
      <c r="D5403" s="11" t="s">
        <v>1758</v>
      </c>
    </row>
    <row r="5404" spans="1:4" ht="30">
      <c r="A5404" s="5" t="str">
        <f>HYPERLINK("https://www.oit.va.gov/Services/TRM/ToolPage.aspx?tid=14481^","NPort Administration Suite")</f>
        <v>NPort Administration Suite</v>
      </c>
      <c r="B5404" s="4" t="s">
        <v>8342</v>
      </c>
      <c r="C5404" s="8" t="s">
        <v>5</v>
      </c>
      <c r="D5404" s="11" t="s">
        <v>8343</v>
      </c>
    </row>
    <row r="5405" spans="1:4" ht="30">
      <c r="A5405" s="5" t="str">
        <f>HYPERLINK("https://www.oit.va.gov/Services/TRM/ToolPage.aspx?tid=11112^","Thunderbird")</f>
        <v>Thunderbird</v>
      </c>
      <c r="B5405" s="4" t="s">
        <v>875</v>
      </c>
      <c r="C5405" s="8" t="s">
        <v>5</v>
      </c>
      <c r="D5405" s="11" t="s">
        <v>876</v>
      </c>
    </row>
    <row r="5406" spans="1:4" ht="30">
      <c r="A5406" s="5" t="str">
        <f>HYPERLINK("https://www.oit.va.gov/Services/TRM/ToolPage.aspx?tid=13096^","Cookiebro - Cookie Manager")</f>
        <v>Cookiebro - Cookie Manager</v>
      </c>
      <c r="B5406" s="4" t="s">
        <v>875</v>
      </c>
      <c r="C5406" s="8" t="s">
        <v>5</v>
      </c>
      <c r="D5406" s="11" t="s">
        <v>4513</v>
      </c>
    </row>
    <row r="5407" spans="1:4" ht="30">
      <c r="A5407" s="5" t="str">
        <f>HYPERLINK("https://www.oit.va.gov/Services/TRM/ToolPage.aspx?tid=12947^","DeepSpeech")</f>
        <v>DeepSpeech</v>
      </c>
      <c r="B5407" s="4" t="s">
        <v>875</v>
      </c>
      <c r="C5407" s="8" t="s">
        <v>5</v>
      </c>
      <c r="D5407" s="11" t="s">
        <v>7749</v>
      </c>
    </row>
    <row r="5408" spans="1:4" ht="30">
      <c r="A5408" s="5" t="str">
        <f>HYPERLINK("https://www.oit.va.gov/Services/TRM/ToolPage.aspx?tid=11747^","XULRunner")</f>
        <v>XULRunner</v>
      </c>
      <c r="B5408" s="4" t="s">
        <v>875</v>
      </c>
      <c r="C5408" s="8" t="s">
        <v>5</v>
      </c>
      <c r="D5408" s="11" t="s">
        <v>8967</v>
      </c>
    </row>
    <row r="5409" spans="1:4" ht="30">
      <c r="A5409" s="5" t="str">
        <f>HYPERLINK("https://www.oit.va.gov/Services/TRM/ToolPage.aspx?tid=10588^","Media Player Classic - Home Cinema (MPC-HC)")</f>
        <v>Media Player Classic - Home Cinema (MPC-HC)</v>
      </c>
      <c r="B5409" s="4" t="s">
        <v>8229</v>
      </c>
      <c r="C5409" s="8" t="s">
        <v>5</v>
      </c>
      <c r="D5409" s="11" t="s">
        <v>8230</v>
      </c>
    </row>
    <row r="5410" spans="1:4" ht="30">
      <c r="A5410" s="5" t="str">
        <f>HYPERLINK("https://www.oit.va.gov/Services/TRM/ToolPage.aspx?tid=14733^","mpv")</f>
        <v>mpv</v>
      </c>
      <c r="B5410" s="4" t="s">
        <v>8285</v>
      </c>
      <c r="C5410" s="8" t="s">
        <v>5</v>
      </c>
      <c r="D5410" s="11" t="s">
        <v>7958</v>
      </c>
    </row>
    <row r="5411" spans="1:4" ht="30">
      <c r="A5411" s="5" t="str">
        <f>HYPERLINK("https://www.oit.va.gov/Services/TRM/ToolPage.aspx?tid=6648^","Multi-Remote Next Generation (mRemoteNG)")</f>
        <v>Multi-Remote Next Generation (mRemoteNG)</v>
      </c>
      <c r="B5411" s="4" t="s">
        <v>2281</v>
      </c>
      <c r="C5411" s="8" t="s">
        <v>5</v>
      </c>
      <c r="D5411" s="11" t="s">
        <v>2282</v>
      </c>
    </row>
    <row r="5412" spans="1:4" ht="30">
      <c r="A5412" s="5" t="str">
        <f>HYPERLINK("https://www.oit.va.gov/Services/TRM/ToolPage.aspx?tid=15180^","Ps2exe")</f>
        <v>Ps2exe</v>
      </c>
      <c r="B5412" s="4" t="s">
        <v>8492</v>
      </c>
      <c r="C5412" s="8" t="s">
        <v>5</v>
      </c>
      <c r="D5412" s="11" t="s">
        <v>447</v>
      </c>
    </row>
    <row r="5413" spans="1:4" ht="30">
      <c r="A5413" s="5" t="str">
        <f>HYPERLINK("https://www.oit.va.gov/Services/TRM/ToolPage.aspx?tid=11554^","DocumentsCorePack")</f>
        <v>DocumentsCorePack</v>
      </c>
      <c r="B5413" s="4" t="s">
        <v>7785</v>
      </c>
      <c r="C5413" s="8" t="s">
        <v>5</v>
      </c>
      <c r="D5413" s="11" t="s">
        <v>7321</v>
      </c>
    </row>
    <row r="5414" spans="1:4" ht="30">
      <c r="A5414" s="5" t="str">
        <f>HYPERLINK("https://www.oit.va.gov/Services/TRM/ToolPage.aspx?tid=14915^","KWedge for Android")</f>
        <v>KWedge for Android</v>
      </c>
      <c r="B5414" s="4" t="s">
        <v>4343</v>
      </c>
      <c r="C5414" s="8" t="s">
        <v>5</v>
      </c>
      <c r="D5414" s="11" t="s">
        <v>4344</v>
      </c>
    </row>
    <row r="5415" spans="1:4" ht="30">
      <c r="A5415" s="5" t="str">
        <f>HYPERLINK("https://www.oit.va.gov/Services/TRM/ToolPage.aspx?tid=16714^","Scan Wedge")</f>
        <v>Scan Wedge</v>
      </c>
      <c r="B5415" s="4" t="s">
        <v>4343</v>
      </c>
      <c r="C5415" s="8" t="s">
        <v>5</v>
      </c>
      <c r="D5415" s="11" t="s">
        <v>6057</v>
      </c>
    </row>
    <row r="5416" spans="1:4" ht="30">
      <c r="A5416" s="5" t="str">
        <f>HYPERLINK("https://www.oit.va.gov/Services/TRM/ToolPage.aspx?tid=14162^","EZWedge")</f>
        <v>EZWedge</v>
      </c>
      <c r="B5416" s="4" t="s">
        <v>4343</v>
      </c>
      <c r="C5416" s="8" t="s">
        <v>5</v>
      </c>
      <c r="D5416" s="11" t="s">
        <v>5804</v>
      </c>
    </row>
    <row r="5417" spans="1:4" ht="30">
      <c r="A5417" s="5" t="str">
        <f>HYPERLINK("https://www.oit.va.gov/Services/TRM/ToolPage.aspx?tid=8279^","KWedge")</f>
        <v>KWedge</v>
      </c>
      <c r="B5417" s="4" t="s">
        <v>4343</v>
      </c>
      <c r="C5417" s="8" t="s">
        <v>5</v>
      </c>
      <c r="D5417" s="11" t="s">
        <v>1285</v>
      </c>
    </row>
    <row r="5418" spans="1:4" ht="30">
      <c r="A5418" s="5" t="str">
        <f>HYPERLINK("https://www.oit.va.gov/Services/TRM/ToolPage.aspx?tid=8258^","Proof of Delivery")</f>
        <v>Proof of Delivery</v>
      </c>
      <c r="B5418" s="4" t="s">
        <v>4343</v>
      </c>
      <c r="C5418" s="8" t="s">
        <v>5</v>
      </c>
      <c r="D5418" s="11" t="s">
        <v>1890</v>
      </c>
    </row>
    <row r="5419" spans="1:4" ht="30">
      <c r="A5419" s="5" t="str">
        <f>HYPERLINK("https://www.oit.va.gov/Services/TRM/ToolPage.aspx?tid=12867^","eXsight Call Accounting")</f>
        <v>eXsight Call Accounting</v>
      </c>
      <c r="B5419" s="4" t="s">
        <v>3286</v>
      </c>
      <c r="C5419" s="8" t="s">
        <v>5</v>
      </c>
      <c r="D5419" s="11" t="s">
        <v>3287</v>
      </c>
    </row>
    <row r="5420" spans="1:4" ht="30">
      <c r="A5420" s="5" t="str">
        <f>HYPERLINK("https://www.oit.va.gov/Services/TRM/ToolPage.aspx?tid=10503^","eXsight Call Accounting and Reporting")</f>
        <v>eXsight Call Accounting and Reporting</v>
      </c>
      <c r="B5420" s="4" t="s">
        <v>3286</v>
      </c>
      <c r="C5420" s="8" t="s">
        <v>5</v>
      </c>
      <c r="D5420" s="11" t="s">
        <v>3288</v>
      </c>
    </row>
    <row r="5421" spans="1:4" ht="30">
      <c r="A5421" s="5" t="str">
        <f>HYPERLINK("https://www.oit.va.gov/Services/TRM/ToolPage.aspx?tid=16678^","AllDup")</f>
        <v>AllDup</v>
      </c>
      <c r="B5421" s="4" t="s">
        <v>6259</v>
      </c>
      <c r="C5421" s="8" t="s">
        <v>5</v>
      </c>
      <c r="D5421" s="11" t="s">
        <v>6260</v>
      </c>
    </row>
    <row r="5422" spans="1:4" ht="30">
      <c r="A5422" s="5" t="str">
        <f>HYPERLINK("https://www.oit.va.gov/Services/TRM/ToolPage.aspx?tid=6988^","Portable Document Format (PDF) Converter Services")</f>
        <v>Portable Document Format (PDF) Converter Services</v>
      </c>
      <c r="B5422" s="4" t="s">
        <v>2868</v>
      </c>
      <c r="C5422" s="8" t="s">
        <v>5</v>
      </c>
      <c r="D5422" s="11" t="s">
        <v>2869</v>
      </c>
    </row>
    <row r="5423" spans="1:4" ht="30">
      <c r="A5423" s="5" t="str">
        <f>HYPERLINK("https://www.oit.va.gov/Services/TRM/ToolPage.aspx?tid=11437^","Anypoint Platform")</f>
        <v>Anypoint Platform</v>
      </c>
      <c r="B5423" s="4" t="s">
        <v>568</v>
      </c>
      <c r="C5423" s="8" t="s">
        <v>5</v>
      </c>
      <c r="D5423" s="11" t="s">
        <v>410</v>
      </c>
    </row>
    <row r="5424" spans="1:4" ht="30">
      <c r="A5424" s="5" t="str">
        <f>HYPERLINK("https://www.oit.va.gov/Services/TRM/ToolPage.aspx?tid=6649^","Mule Runtime")</f>
        <v>Mule Runtime</v>
      </c>
      <c r="B5424" s="4" t="s">
        <v>568</v>
      </c>
      <c r="C5424" s="8" t="s">
        <v>5</v>
      </c>
      <c r="D5424" s="11" t="s">
        <v>772</v>
      </c>
    </row>
    <row r="5425" spans="1:4" ht="30">
      <c r="A5425" s="5" t="str">
        <f>HYPERLINK("https://www.oit.va.gov/Services/TRM/ToolPage.aspx?tid=13238^","Advanced REST Client (ARC)")</f>
        <v>Advanced REST Client (ARC)</v>
      </c>
      <c r="B5425" s="4" t="s">
        <v>568</v>
      </c>
      <c r="C5425" s="8" t="s">
        <v>5</v>
      </c>
      <c r="D5425" s="11" t="s">
        <v>119</v>
      </c>
    </row>
    <row r="5426" spans="1:4" ht="30">
      <c r="A5426" s="5" t="str">
        <f>HYPERLINK("https://www.oit.va.gov/Services/TRM/ToolPage.aspx?tid=13789^","multicorn")</f>
        <v>multicorn</v>
      </c>
      <c r="B5426" s="4" t="s">
        <v>8289</v>
      </c>
      <c r="C5426" s="8" t="s">
        <v>5</v>
      </c>
      <c r="D5426" s="11" t="s">
        <v>8033</v>
      </c>
    </row>
    <row r="5427" spans="1:4" ht="30">
      <c r="A5427" s="5" t="str">
        <f>HYPERLINK("https://www.oit.va.gov/Services/TRM/ToolPage.aspx?tid=6546^","Conners Continuous Performance Test (CPT) Third Edition")</f>
        <v>Conners Continuous Performance Test (CPT) Third Edition</v>
      </c>
      <c r="B5427" s="4" t="s">
        <v>956</v>
      </c>
      <c r="C5427" s="8" t="s">
        <v>5</v>
      </c>
      <c r="D5427" s="11" t="s">
        <v>957</v>
      </c>
    </row>
    <row r="5428" spans="1:4" ht="30">
      <c r="A5428" s="5" t="str">
        <f>HYPERLINK("https://www.oit.va.gov/Services/TRM/ToolPage.aspx?tid=13325^","Computerized Test of Information Processing (CTIP)")</f>
        <v>Computerized Test of Information Processing (CTIP)</v>
      </c>
      <c r="B5428" s="4" t="s">
        <v>956</v>
      </c>
      <c r="C5428" s="8" t="s">
        <v>5</v>
      </c>
      <c r="D5428" s="11" t="s">
        <v>3225</v>
      </c>
    </row>
    <row r="5429" spans="1:4" ht="30">
      <c r="A5429" s="5" t="str">
        <f>HYPERLINK("https://www.oit.va.gov/Services/TRM/ToolPage.aspx?tid=7605^","Psychopathy Checklist-Revised (PCL-R) 2nd Edition")</f>
        <v>Psychopathy Checklist-Revised (PCL-R) 2nd Edition</v>
      </c>
      <c r="B5429" s="4" t="s">
        <v>956</v>
      </c>
      <c r="C5429" s="8" t="s">
        <v>5</v>
      </c>
      <c r="D5429" s="11" t="s">
        <v>3473</v>
      </c>
    </row>
    <row r="5430" spans="1:4" ht="30">
      <c r="A5430" s="5" t="str">
        <f>HYPERLINK("https://www.oit.va.gov/Services/TRM/ToolPage.aspx?tid=15481^","FaxFinder Client")</f>
        <v>FaxFinder Client</v>
      </c>
      <c r="B5430" s="4" t="s">
        <v>404</v>
      </c>
      <c r="C5430" s="8" t="s">
        <v>5</v>
      </c>
      <c r="D5430" s="11" t="s">
        <v>405</v>
      </c>
    </row>
    <row r="5431" spans="1:4" ht="30">
      <c r="A5431" s="5" t="str">
        <f>HYPERLINK("https://www.oit.va.gov/Services/TRM/ToolPage.aspx?tid=8454^","Access 3000 Message Server")</f>
        <v>Access 3000 Message Server</v>
      </c>
      <c r="B5431" s="4" t="s">
        <v>2345</v>
      </c>
      <c r="C5431" s="8" t="s">
        <v>5</v>
      </c>
      <c r="D5431" s="11" t="s">
        <v>2346</v>
      </c>
    </row>
    <row r="5432" spans="1:4" ht="30">
      <c r="A5432" s="5" t="str">
        <f>HYPERLINK("https://www.oit.va.gov/Services/TRM/ToolPage.aspx?tid=6758^","EQS Structural Equation Modeling Software")</f>
        <v>EQS Structural Equation Modeling Software</v>
      </c>
      <c r="B5432" s="4" t="s">
        <v>986</v>
      </c>
      <c r="C5432" s="8" t="s">
        <v>5</v>
      </c>
      <c r="D5432" s="11" t="s">
        <v>987</v>
      </c>
    </row>
    <row r="5433" spans="1:4" ht="30">
      <c r="A5433" s="5" t="str">
        <f>HYPERLINK("https://www.oit.va.gov/Services/TRM/ToolPage.aspx?tid=8564^","MuseScore")</f>
        <v>MuseScore</v>
      </c>
      <c r="B5433" s="4" t="s">
        <v>8293</v>
      </c>
      <c r="C5433" s="8" t="s">
        <v>5</v>
      </c>
      <c r="D5433" s="11" t="s">
        <v>8033</v>
      </c>
    </row>
    <row r="5434" spans="1:4" ht="30">
      <c r="A5434" s="5" t="str">
        <f>HYPERLINK("https://www.oit.va.gov/Services/TRM/ToolPage.aspx?tid=6870^","Mplus")</f>
        <v>Mplus</v>
      </c>
      <c r="B5434" s="4" t="s">
        <v>770</v>
      </c>
      <c r="C5434" s="8" t="s">
        <v>5</v>
      </c>
      <c r="D5434" s="11" t="s">
        <v>771</v>
      </c>
    </row>
    <row r="5435" spans="1:4" ht="30">
      <c r="A5435" s="5" t="str">
        <f>HYPERLINK("https://www.oit.va.gov/Services/TRM/ToolPage.aspx?tid=9122^","MVFLEX Expression Language (MVEL)")</f>
        <v>MVFLEX Expression Language (MVEL)</v>
      </c>
      <c r="B5435" s="4" t="s">
        <v>2788</v>
      </c>
      <c r="C5435" s="8" t="s">
        <v>5</v>
      </c>
      <c r="D5435" s="11" t="s">
        <v>2789</v>
      </c>
    </row>
    <row r="5436" spans="1:4" ht="30">
      <c r="A5436" s="5" t="str">
        <f>HYPERLINK("https://www.oit.va.gov/Services/TRM/ToolPage.aspx?tid=9753^","ProTrack")</f>
        <v>ProTrack</v>
      </c>
      <c r="B5436" s="4" t="s">
        <v>6014</v>
      </c>
      <c r="C5436" s="8" t="s">
        <v>5</v>
      </c>
      <c r="D5436" s="11" t="s">
        <v>4649</v>
      </c>
    </row>
    <row r="5437" spans="1:4" ht="30">
      <c r="A5437" s="5" t="str">
        <f>HYPERLINK("https://www.oit.va.gov/Services/TRM/ToolPage.aspx?tid=8121^","MyMobiler for Windows")</f>
        <v>MyMobiler for Windows</v>
      </c>
      <c r="B5437" s="4" t="s">
        <v>6900</v>
      </c>
      <c r="C5437" s="8" t="s">
        <v>5</v>
      </c>
      <c r="D5437" s="11" t="s">
        <v>6901</v>
      </c>
    </row>
    <row r="5438" spans="1:4" ht="30">
      <c r="A5438" s="5" t="str">
        <f>HYPERLINK("https://www.oit.va.gov/Services/TRM/ToolPage.aspx?tid=15891^","MyConfig")</f>
        <v>MyConfig</v>
      </c>
      <c r="B5438" s="4" t="s">
        <v>6898</v>
      </c>
      <c r="C5438" s="8" t="s">
        <v>5</v>
      </c>
      <c r="D5438" s="11" t="s">
        <v>6899</v>
      </c>
    </row>
    <row r="5439" spans="1:4" ht="30">
      <c r="A5439" s="5" t="str">
        <f>HYPERLINK("https://www.oit.va.gov/Services/TRM/ToolPage.aspx?tid=16731^","MyScript Stylus")</f>
        <v>MyScript Stylus</v>
      </c>
      <c r="B5439" s="4" t="s">
        <v>6902</v>
      </c>
      <c r="C5439" s="8" t="s">
        <v>5</v>
      </c>
      <c r="D5439" s="11" t="s">
        <v>1787</v>
      </c>
    </row>
    <row r="5440" spans="1:4" ht="30">
      <c r="A5440" s="5" t="str">
        <f>HYPERLINK("https://www.oit.va.gov/Services/TRM/ToolPage.aspx?tid=9977^","Agent Ransack")</f>
        <v>Agent Ransack</v>
      </c>
      <c r="B5440" s="4" t="s">
        <v>3719</v>
      </c>
      <c r="C5440" s="8" t="s">
        <v>5</v>
      </c>
      <c r="D5440" s="11" t="s">
        <v>3720</v>
      </c>
    </row>
    <row r="5441" spans="1:4" ht="30">
      <c r="A5441" s="5" t="str">
        <f>HYPERLINK("https://www.oit.va.gov/Services/TRM/ToolPage.aspx?tid=8308^","SSIS Tasks for SQL Server")</f>
        <v>SSIS Tasks for SQL Server</v>
      </c>
      <c r="B5441" s="4" t="s">
        <v>6084</v>
      </c>
      <c r="C5441" s="8" t="s">
        <v>5</v>
      </c>
      <c r="D5441" s="11" t="s">
        <v>4619</v>
      </c>
    </row>
    <row r="5442" spans="1:4" ht="30">
      <c r="A5442" s="5" t="str">
        <f>HYPERLINK("https://www.oit.va.gov/Services/TRM/VAStandardPage.aspx?tid=8928^","VA .NET Programming Standard")</f>
        <v>VA .NET Programming Standard</v>
      </c>
      <c r="B5442" s="4" t="s">
        <v>886</v>
      </c>
      <c r="C5442" s="8" t="s">
        <v>5</v>
      </c>
      <c r="D5442" s="11" t="s">
        <v>887</v>
      </c>
    </row>
    <row r="5443" spans="1:4" ht="30">
      <c r="A5443" s="5" t="str">
        <f>HYPERLINK("https://www.oit.va.gov/Services/TRM/ToolPage.aspx?tid=9210^","TrackWare")</f>
        <v>TrackWare</v>
      </c>
      <c r="B5443" s="4" t="s">
        <v>886</v>
      </c>
      <c r="C5443" s="8" t="s">
        <v>5</v>
      </c>
      <c r="D5443" s="11" t="s">
        <v>5558</v>
      </c>
    </row>
    <row r="5444" spans="1:4" ht="30">
      <c r="A5444" s="5" t="str">
        <f>HYPERLINK("https://www.oit.va.gov/Services/TRM/VAStandardPage.aspx?tid=14255^","Baseline Configuration for WAN Acceleration")</f>
        <v>Baseline Configuration for WAN Acceleration</v>
      </c>
      <c r="B5444" s="4" t="s">
        <v>886</v>
      </c>
      <c r="C5444" s="8" t="s">
        <v>5</v>
      </c>
      <c r="D5444" s="11" t="s">
        <v>887</v>
      </c>
    </row>
    <row r="5445" spans="1:4" ht="30">
      <c r="A5445" s="5" t="str">
        <f>HYPERLINK("https://www.oit.va.gov/Services/TRM/ToolPage.aspx?tid=11374^","Cisco AnyConnect (Mobile)")</f>
        <v>Cisco AnyConnect (Mobile)</v>
      </c>
      <c r="B5445" s="4" t="s">
        <v>886</v>
      </c>
      <c r="C5445" s="8" t="s">
        <v>5</v>
      </c>
      <c r="D5445" s="11" t="s">
        <v>6020</v>
      </c>
    </row>
    <row r="5446" spans="1:4" ht="30">
      <c r="A5446" s="5" t="str">
        <f>HYPERLINK("https://www.oit.va.gov/Services/TRM/VAStandardPage.aspx?tid=14256^","Enterprise Infrastructure Wide Area Network (WAN) Standards and CRISP Baseline")</f>
        <v>Enterprise Infrastructure Wide Area Network (WAN) Standards and CRISP Baseline</v>
      </c>
      <c r="B5446" s="4" t="s">
        <v>886</v>
      </c>
      <c r="C5446" s="8" t="s">
        <v>5</v>
      </c>
      <c r="D5446" s="11" t="s">
        <v>4521</v>
      </c>
    </row>
    <row r="5447" spans="1:4" ht="30">
      <c r="A5447" s="5" t="str">
        <f>HYPERLINK("https://www.oit.va.gov/Services/TRM/VAStandardPage.aspx?tid=14257^","Enterprise Local Area Network (LAN) Technical Architecture Standard")</f>
        <v>Enterprise Local Area Network (LAN) Technical Architecture Standard</v>
      </c>
      <c r="B5447" s="4" t="s">
        <v>886</v>
      </c>
      <c r="C5447" s="8" t="s">
        <v>5</v>
      </c>
      <c r="D5447" s="11" t="s">
        <v>4521</v>
      </c>
    </row>
    <row r="5448" spans="1:4" ht="30">
      <c r="A5448" s="5" t="str">
        <f>HYPERLINK("https://www.oit.va.gov/Services/TRM/VAStandardPage.aspx?tid=11037^","Infrastructure Standard for Telecommunications Space")</f>
        <v>Infrastructure Standard for Telecommunications Space</v>
      </c>
      <c r="B5448" s="4" t="s">
        <v>886</v>
      </c>
      <c r="C5448" s="8" t="s">
        <v>5</v>
      </c>
      <c r="D5448" s="11" t="s">
        <v>1230</v>
      </c>
    </row>
    <row r="5449" spans="1:4" ht="30">
      <c r="A5449" s="5" t="str">
        <f>HYPERLINK("https://www.oit.va.gov/Services/TRM/ToolPage.aspx?tid=11351^","Mindfulness Coach (Mobile)")</f>
        <v>Mindfulness Coach (Mobile)</v>
      </c>
      <c r="B5449" s="4" t="s">
        <v>886</v>
      </c>
      <c r="C5449" s="8" t="s">
        <v>5</v>
      </c>
      <c r="D5449" s="11" t="s">
        <v>6873</v>
      </c>
    </row>
    <row r="5450" spans="1:4" ht="30">
      <c r="A5450" s="5" t="str">
        <f>HYPERLINK("https://www.oit.va.gov/Services/TRM/ToolPage.aspx?tid=11371^","Pexip Infinity Connect Mobile (Mobile)")</f>
        <v>Pexip Infinity Connect Mobile (Mobile)</v>
      </c>
      <c r="B5450" s="4" t="s">
        <v>886</v>
      </c>
      <c r="C5450" s="8" t="s">
        <v>5</v>
      </c>
      <c r="D5450" s="11" t="s">
        <v>6999</v>
      </c>
    </row>
    <row r="5451" spans="1:4" ht="30">
      <c r="A5451" s="5" t="str">
        <f>HYPERLINK("https://www.oit.va.gov/Services/TRM/VAStandardPage.aspx?tid=13133^","VA Cache Programming Standard")</f>
        <v>VA Cache Programming Standard</v>
      </c>
      <c r="B5451" s="4" t="s">
        <v>886</v>
      </c>
      <c r="C5451" s="8" t="s">
        <v>5</v>
      </c>
      <c r="D5451" s="11" t="s">
        <v>7281</v>
      </c>
    </row>
    <row r="5452" spans="1:4" ht="30">
      <c r="A5452" s="5" t="str">
        <f>HYPERLINK("https://www.oit.va.gov/Services/TRM/ToolPage.aspx?tid=11345^","Exposure ED (Mobile)")</f>
        <v>Exposure ED (Mobile)</v>
      </c>
      <c r="B5452" s="4" t="s">
        <v>886</v>
      </c>
      <c r="C5452" s="8" t="s">
        <v>5</v>
      </c>
      <c r="D5452" s="11" t="s">
        <v>7893</v>
      </c>
    </row>
    <row r="5453" spans="1:4" ht="30">
      <c r="A5453" s="5" t="str">
        <f>HYPERLINK("https://www.oit.va.gov/Services/TRM/ToolPage.aspx?tid=11343^","Google Drive (Mobile)")</f>
        <v>Google Drive (Mobile)</v>
      </c>
      <c r="B5453" s="4" t="s">
        <v>886</v>
      </c>
      <c r="C5453" s="8" t="s">
        <v>5</v>
      </c>
      <c r="D5453" s="11" t="s">
        <v>7992</v>
      </c>
    </row>
    <row r="5454" spans="1:4" ht="30">
      <c r="A5454" s="5" t="str">
        <f>HYPERLINK("https://www.oit.va.gov/Services/TRM/ToolPage.aspx?tid=11359^","Moving Forward (Mobile)")</f>
        <v>Moving Forward (Mobile)</v>
      </c>
      <c r="B5454" s="4" t="s">
        <v>886</v>
      </c>
      <c r="C5454" s="8" t="s">
        <v>5</v>
      </c>
      <c r="D5454" s="11" t="s">
        <v>7893</v>
      </c>
    </row>
    <row r="5455" spans="1:4" ht="30">
      <c r="A5455" s="5" t="str">
        <f>HYPERLINK("https://www.oit.va.gov/Services/TRM/ToolPage.aspx?tid=11366^","Parenting2Go (Mobile)")</f>
        <v>Parenting2Go (Mobile)</v>
      </c>
      <c r="B5455" s="4" t="s">
        <v>886</v>
      </c>
      <c r="C5455" s="8" t="s">
        <v>5</v>
      </c>
      <c r="D5455" s="11" t="s">
        <v>7893</v>
      </c>
    </row>
    <row r="5456" spans="1:4" ht="30">
      <c r="A5456" s="5" t="str">
        <f>HYPERLINK("https://www.oit.va.gov/Services/TRM/VAStandardPage.aspx?tid=5176^","VA Java Programming Standard")</f>
        <v>VA Java Programming Standard</v>
      </c>
      <c r="B5456" s="4" t="s">
        <v>886</v>
      </c>
      <c r="C5456" s="8" t="s">
        <v>5</v>
      </c>
      <c r="D5456" s="11" t="s">
        <v>5602</v>
      </c>
    </row>
    <row r="5457" spans="1:4" ht="30">
      <c r="A5457" s="5" t="str">
        <f>HYPERLINK("https://www.oit.va.gov/Services/TRM/VAStandardPage.aspx?tid=15248^","Veterans Data Integration and Federation Enterprise Platform (VDIF-EP) VistA REST Service Standard")</f>
        <v>Veterans Data Integration and Federation Enterprise Platform (VDIF-EP) VistA REST Service Standard</v>
      </c>
      <c r="B5457" s="4" t="s">
        <v>886</v>
      </c>
      <c r="C5457" s="8" t="s">
        <v>5</v>
      </c>
      <c r="D5457" s="11" t="s">
        <v>5399</v>
      </c>
    </row>
    <row r="5458" spans="1:4" ht="30">
      <c r="A5458" s="5" t="str">
        <f>HYPERLINK("https://www.oit.va.gov/Services/TRM/VAStandardPage.aspx?tid=7020^","Virtualization and Consolidation of Servers (Server Virtualize First)")</f>
        <v>Virtualization and Consolidation of Servers (Server Virtualize First)</v>
      </c>
      <c r="B5458" s="4" t="s">
        <v>886</v>
      </c>
      <c r="C5458" s="8" t="s">
        <v>5</v>
      </c>
      <c r="D5458" s="11" t="s">
        <v>8985</v>
      </c>
    </row>
    <row r="5459" spans="1:4" ht="30">
      <c r="A5459" s="5" t="str">
        <f>HYPERLINK("https://www.oit.va.gov/Services/TRM/ToolPage.aspx?tid=16689^","N-able N-sight Take Control")</f>
        <v>N-able N-sight Take Control</v>
      </c>
      <c r="B5459" s="4" t="s">
        <v>6903</v>
      </c>
      <c r="C5459" s="8" t="s">
        <v>5</v>
      </c>
      <c r="D5459" s="11" t="s">
        <v>6662</v>
      </c>
    </row>
    <row r="5460" spans="1:4" ht="30">
      <c r="A5460" s="5" t="str">
        <f>HYPERLINK("https://www.oit.va.gov/Services/TRM/ToolPage.aspx?tid=16646^","PhraseExpander")</f>
        <v>PhraseExpander</v>
      </c>
      <c r="B5460" s="4" t="s">
        <v>4601</v>
      </c>
      <c r="C5460" s="8" t="s">
        <v>5</v>
      </c>
      <c r="D5460" s="11" t="s">
        <v>4602</v>
      </c>
    </row>
    <row r="5461" spans="1:4" ht="30">
      <c r="A5461" s="5" t="str">
        <f>HYPERLINK("https://www.oit.va.gov/Services/TRM/ToolPage.aspx?tid=6529^","Nagios Core")</f>
        <v>Nagios Core</v>
      </c>
      <c r="B5461" s="4" t="s">
        <v>775</v>
      </c>
      <c r="C5461" s="8" t="s">
        <v>5</v>
      </c>
      <c r="D5461" s="11" t="s">
        <v>776</v>
      </c>
    </row>
    <row r="5462" spans="1:4" ht="30">
      <c r="A5462" s="5" t="str">
        <f>HYPERLINK("https://www.oit.va.gov/Services/TRM/ToolPage.aspx?tid=5849^","Nagios XI")</f>
        <v>Nagios XI</v>
      </c>
      <c r="B5462" s="4" t="s">
        <v>775</v>
      </c>
      <c r="C5462" s="8" t="s">
        <v>5</v>
      </c>
      <c r="D5462" s="11" t="s">
        <v>892</v>
      </c>
    </row>
    <row r="5463" spans="1:4" ht="30">
      <c r="A5463" s="5" t="str">
        <f>HYPERLINK("https://www.oit.va.gov/Services/TRM/ToolPage.aspx?tid=14280^","Nagstamon")</f>
        <v>Nagstamon</v>
      </c>
      <c r="B5463" s="4" t="s">
        <v>4469</v>
      </c>
      <c r="C5463" s="8" t="s">
        <v>5</v>
      </c>
      <c r="D5463" s="11" t="s">
        <v>4222</v>
      </c>
    </row>
    <row r="5464" spans="1:4" ht="30">
      <c r="A5464" s="5" t="str">
        <f>HYPERLINK("https://www.oit.va.gov/Services/TRM/ToolPage.aspx?tid=11087^","nSolver Analysis Software")</f>
        <v>nSolver Analysis Software</v>
      </c>
      <c r="B5464" s="4" t="s">
        <v>314</v>
      </c>
      <c r="C5464" s="8" t="s">
        <v>5</v>
      </c>
      <c r="D5464" s="11" t="s">
        <v>315</v>
      </c>
    </row>
    <row r="5465" spans="1:4" ht="30">
      <c r="A5465" s="5" t="str">
        <f>HYPERLINK("https://www.oit.va.gov/Services/TRM/ToolPage.aspx?tid=16666^","SupRemo")</f>
        <v>SupRemo</v>
      </c>
      <c r="B5465" s="4" t="s">
        <v>7197</v>
      </c>
      <c r="C5465" s="8" t="s">
        <v>5</v>
      </c>
      <c r="D5465" s="11" t="s">
        <v>7198</v>
      </c>
    </row>
    <row r="5466" spans="1:4" ht="30">
      <c r="A5466" s="5" t="str">
        <f>HYPERLINK("https://www.oit.va.gov/Services/TRM/ToolPage.aspx?tid=10227^","Conditional Random Field Suite (CRFsuite)")</f>
        <v>Conditional Random Field Suite (CRFsuite)</v>
      </c>
      <c r="B5466" s="4" t="s">
        <v>6451</v>
      </c>
      <c r="C5466" s="8" t="s">
        <v>5</v>
      </c>
      <c r="D5466" s="11" t="s">
        <v>6452</v>
      </c>
    </row>
    <row r="5467" spans="1:4" ht="30">
      <c r="A5467" s="5" t="str">
        <f>HYPERLINK("https://www.oit.va.gov/Services/TRM/ToolPage.aspx?tid=13733^","CardAccess 3000")</f>
        <v>CardAccess 3000</v>
      </c>
      <c r="B5467" s="4" t="s">
        <v>6383</v>
      </c>
      <c r="C5467" s="8" t="s">
        <v>5</v>
      </c>
      <c r="D5467" s="11" t="s">
        <v>6384</v>
      </c>
    </row>
    <row r="5468" spans="1:4" ht="30">
      <c r="A5468" s="5" t="str">
        <f>HYPERLINK("https://www.oit.va.gov/Services/TRM/ToolPage.aspx?tid=10094^","Internet Information Services (IIS) Crypto")</f>
        <v>Internet Information Services (IIS) Crypto</v>
      </c>
      <c r="B5468" s="4" t="s">
        <v>2673</v>
      </c>
      <c r="C5468" s="8" t="s">
        <v>5</v>
      </c>
      <c r="D5468" s="11" t="s">
        <v>2674</v>
      </c>
    </row>
    <row r="5469" spans="1:4" ht="30">
      <c r="A5469" s="5" t="str">
        <f>HYPERLINK("https://www.oit.va.gov/Services/TRM/ToolPage.aspx?tid=7892^","SpecsIntact")</f>
        <v>SpecsIntact</v>
      </c>
      <c r="B5469" s="4" t="s">
        <v>863</v>
      </c>
      <c r="C5469" s="8" t="s">
        <v>5</v>
      </c>
      <c r="D5469" s="11" t="s">
        <v>864</v>
      </c>
    </row>
    <row r="5470" spans="1:4" ht="30">
      <c r="A5470" s="5" t="str">
        <f>HYPERLINK("https://www.oit.va.gov/Services/TRM/ToolPage.aspx?tid=11264^","Mocha-PhantomJS")</f>
        <v>Mocha-PhantomJS</v>
      </c>
      <c r="B5470" s="4" t="s">
        <v>4444</v>
      </c>
      <c r="C5470" s="8" t="s">
        <v>5</v>
      </c>
      <c r="D5470" s="11" t="s">
        <v>4445</v>
      </c>
    </row>
    <row r="5471" spans="1:4" ht="30">
      <c r="A5471" s="5" t="str">
        <f>HYPERLINK("https://www.oit.va.gov/Services/TRM/ToolPage.aspx?tid=10524^","Color Oracle")</f>
        <v>Color Oracle</v>
      </c>
      <c r="B5471" s="4" t="s">
        <v>1151</v>
      </c>
      <c r="C5471" s="8" t="s">
        <v>5</v>
      </c>
      <c r="D5471" s="11" t="s">
        <v>1152</v>
      </c>
    </row>
    <row r="5472" spans="1:4" ht="30">
      <c r="A5472" s="5" t="str">
        <f>HYPERLINK("https://www.oit.va.gov/Services/TRM/ToolPage.aspx?tid=14825^","Surveillance, Epidemiology and End Results (SEER*) Prep")</f>
        <v>Surveillance, Epidemiology and End Results (SEER*) Prep</v>
      </c>
      <c r="B5472" s="4" t="s">
        <v>3567</v>
      </c>
      <c r="C5472" s="8" t="s">
        <v>5</v>
      </c>
      <c r="D5472" s="11" t="s">
        <v>3568</v>
      </c>
    </row>
    <row r="5473" spans="1:4" ht="30">
      <c r="A5473" s="5" t="str">
        <f>HYPERLINK("https://www.oit.va.gov/Services/TRM/ToolPage.aspx?tid=14752^","National Cancer Institute dosimetry system for Computed Tomography (NCICT)")</f>
        <v>National Cancer Institute dosimetry system for Computed Tomography (NCICT)</v>
      </c>
      <c r="B5473" s="4" t="s">
        <v>3567</v>
      </c>
      <c r="C5473" s="8" t="s">
        <v>5</v>
      </c>
      <c r="D5473" s="11" t="s">
        <v>3483</v>
      </c>
    </row>
    <row r="5474" spans="1:4" ht="30">
      <c r="A5474" s="5" t="str">
        <f>HYPERLINK("https://www.oit.va.gov/Services/TRM/ToolPage.aspx?tid=14716^","National Cancer Institute dosimetry system for Nuclear Medicine (NCINM)")</f>
        <v>National Cancer Institute dosimetry system for Nuclear Medicine (NCINM)</v>
      </c>
      <c r="B5474" s="4" t="s">
        <v>3567</v>
      </c>
      <c r="C5474" s="8" t="s">
        <v>5</v>
      </c>
      <c r="D5474" s="11" t="s">
        <v>6904</v>
      </c>
    </row>
    <row r="5475" spans="1:4" ht="30">
      <c r="A5475" s="5" t="str">
        <f>HYPERLINK("https://www.oit.va.gov/Services/TRM/ToolPage.aspx?tid=9933^","Diet*Calc")</f>
        <v>Diet*Calc</v>
      </c>
      <c r="B5475" s="4" t="s">
        <v>1497</v>
      </c>
      <c r="C5475" s="8" t="s">
        <v>5</v>
      </c>
      <c r="D5475" s="11" t="s">
        <v>117</v>
      </c>
    </row>
    <row r="5476" spans="1:4" ht="30">
      <c r="A5476" s="5" t="str">
        <f>HYPERLINK("https://www.oit.va.gov/Services/TRM/ToolPage.aspx?tid=10614^","Genomic Data Commons (GDC) Data Transfer Tool")</f>
        <v>Genomic Data Commons (GDC) Data Transfer Tool</v>
      </c>
      <c r="B5476" s="4" t="s">
        <v>1497</v>
      </c>
      <c r="C5476" s="8" t="s">
        <v>5</v>
      </c>
      <c r="D5476" s="11" t="s">
        <v>316</v>
      </c>
    </row>
    <row r="5477" spans="1:4" ht="30">
      <c r="A5477" s="5" t="str">
        <f>HYPERLINK("https://www.oit.va.gov/Services/TRM/ToolPage.aspx?tid=14175^","Mensuration Services Program (MSP) Geographic Translator (Geotrans)")</f>
        <v>Mensuration Services Program (MSP) Geographic Translator (Geotrans)</v>
      </c>
      <c r="B5477" s="4" t="s">
        <v>8247</v>
      </c>
      <c r="C5477" s="8" t="s">
        <v>5</v>
      </c>
      <c r="D5477" s="11" t="s">
        <v>7091</v>
      </c>
    </row>
    <row r="5478" spans="1:4" ht="30">
      <c r="A5478" s="5" t="str">
        <f>HYPERLINK("https://www.oit.va.gov/Services/TRM/ToolPage.aspx?tid=9616^","Life Table Analysis System (LTAS)")</f>
        <v>Life Table Analysis System (LTAS)</v>
      </c>
      <c r="B5478" s="4" t="s">
        <v>1031</v>
      </c>
      <c r="C5478" s="8" t="s">
        <v>5</v>
      </c>
      <c r="D5478" s="11" t="s">
        <v>1032</v>
      </c>
    </row>
    <row r="5479" spans="1:4" ht="30">
      <c r="A5479" s="5" t="str">
        <f>HYPERLINK("https://www.oit.va.gov/Services/TRM/ToolPage.aspx?tid=12961^","SPIROLA")</f>
        <v>SPIROLA</v>
      </c>
      <c r="B5479" s="4" t="s">
        <v>1031</v>
      </c>
      <c r="C5479" s="8" t="s">
        <v>5</v>
      </c>
      <c r="D5479" s="11" t="s">
        <v>3343</v>
      </c>
    </row>
    <row r="5480" spans="1:4" ht="30">
      <c r="A5480" s="5" t="str">
        <f>HYPERLINK("https://www.oit.va.gov/Services/TRM/ToolPage.aspx?tid=7865^","Building Life Cycle Cost (BLCC) Program")</f>
        <v>Building Life Cycle Cost (BLCC) Program</v>
      </c>
      <c r="B5480" s="4" t="s">
        <v>598</v>
      </c>
      <c r="C5480" s="8" t="s">
        <v>5</v>
      </c>
      <c r="D5480" s="11" t="s">
        <v>599</v>
      </c>
    </row>
    <row r="5481" spans="1:4" ht="30">
      <c r="A5481" s="5" t="str">
        <f>HYPERLINK("https://www.oit.va.gov/Services/TRM/StandardPage.aspx?tid=5276^","Key Management Using ANSI X9.17 (NIST SP 800-57)")</f>
        <v>Key Management Using ANSI X9.17 (NIST SP 800-57)</v>
      </c>
      <c r="B5481" s="4" t="s">
        <v>598</v>
      </c>
      <c r="C5481" s="8" t="s">
        <v>5</v>
      </c>
      <c r="D5481" s="11" t="s">
        <v>1409</v>
      </c>
    </row>
    <row r="5482" spans="1:4" ht="30">
      <c r="A5482" s="5" t="str">
        <f>HYPERLINK("https://www.oit.va.gov/Services/TRM/ToolPage.aspx?tid=15848^","Heating, Ventilation, and Air Conditioning (HVAC)-Cx")</f>
        <v>Heating, Ventilation, and Air Conditioning (HVAC)-Cx</v>
      </c>
      <c r="B5482" s="4" t="s">
        <v>598</v>
      </c>
      <c r="C5482" s="8" t="s">
        <v>5</v>
      </c>
      <c r="D5482" s="11" t="s">
        <v>3322</v>
      </c>
    </row>
    <row r="5483" spans="1:4" ht="30">
      <c r="A5483" s="5" t="str">
        <f>HYPERLINK("https://www.oit.va.gov/Services/TRM/StandardPage.aspx?tid=5283^","Secure Hash Standard (SHS)")</f>
        <v>Secure Hash Standard (SHS)</v>
      </c>
      <c r="B5483" s="4" t="s">
        <v>598</v>
      </c>
      <c r="C5483" s="8" t="s">
        <v>5</v>
      </c>
      <c r="D5483" s="11" t="s">
        <v>1014</v>
      </c>
    </row>
    <row r="5484" spans="1:4" ht="45">
      <c r="A5484" s="5" t="str">
        <f>HYPERLINK("https://www.oit.va.gov/Services/TRM/StandardPage.aspx?tid=8495^","National Institute of Standards and Technology (NIST) Special Publication (SP) Security and Privacy Controls for Federal Information Systems and Organizations")</f>
        <v>National Institute of Standards and Technology (NIST) Special Publication (SP) Security and Privacy Controls for Federal Information Systems and Organizations</v>
      </c>
      <c r="B5484" s="4" t="s">
        <v>598</v>
      </c>
      <c r="C5484" s="8" t="s">
        <v>5</v>
      </c>
      <c r="D5484" s="11" t="s">
        <v>6905</v>
      </c>
    </row>
    <row r="5485" spans="1:4" ht="30">
      <c r="A5485" s="5" t="str">
        <f>HYPERLINK("https://www.oit.va.gov/Services/TRM/StandardPage.aspx?tid=5293^","Security Requirements for Cryptographic Modules")</f>
        <v>Security Requirements for Cryptographic Modules</v>
      </c>
      <c r="B5485" s="4" t="s">
        <v>598</v>
      </c>
      <c r="C5485" s="8" t="s">
        <v>5</v>
      </c>
      <c r="D5485" s="11" t="s">
        <v>3487</v>
      </c>
    </row>
    <row r="5486" spans="1:4" ht="30">
      <c r="A5486" s="5" t="str">
        <f>HYPERLINK("https://www.oit.va.gov/Services/TRM/StandardPage.aspx?tid=8496^","Special Publication (SP) 800-92 Guide to Computer Security Log Management")</f>
        <v>Special Publication (SP) 800-92 Guide to Computer Security Log Management</v>
      </c>
      <c r="B5486" s="4" t="s">
        <v>598</v>
      </c>
      <c r="C5486" s="8" t="s">
        <v>5</v>
      </c>
      <c r="D5486" s="11" t="s">
        <v>5192</v>
      </c>
    </row>
    <row r="5487" spans="1:4" ht="30">
      <c r="A5487" s="5" t="str">
        <f>HYPERLINK("https://www.oit.va.gov/Services/TRM/StandardPage.aspx?tid=5277^","Data Encryption Standard (DES)")</f>
        <v>Data Encryption Standard (DES)</v>
      </c>
      <c r="B5487" s="4" t="s">
        <v>598</v>
      </c>
      <c r="C5487" s="8" t="s">
        <v>5</v>
      </c>
      <c r="D5487" s="11" t="s">
        <v>6339</v>
      </c>
    </row>
    <row r="5488" spans="1:4" ht="30">
      <c r="A5488" s="5" t="str">
        <f>HYPERLINK("https://www.oit.va.gov/Services/TRM/StandardPage.aspx?tid=5285^","Triple Data Encryption Algorithm (TDEA) Block Cipher")</f>
        <v>Triple Data Encryption Algorithm (TDEA) Block Cipher</v>
      </c>
      <c r="B5488" s="4" t="s">
        <v>598</v>
      </c>
      <c r="C5488" s="8" t="s">
        <v>5</v>
      </c>
      <c r="D5488" s="11" t="s">
        <v>7736</v>
      </c>
    </row>
    <row r="5489" spans="1:4" ht="30">
      <c r="A5489" s="5" t="str">
        <f>HYPERLINK("https://www.oit.va.gov/Services/TRM/ToolPage.aspx?tid=6002^","ImageJ")</f>
        <v>ImageJ</v>
      </c>
      <c r="B5489" s="4" t="s">
        <v>711</v>
      </c>
      <c r="C5489" s="8" t="s">
        <v>5</v>
      </c>
      <c r="D5489" s="11" t="s">
        <v>712</v>
      </c>
    </row>
    <row r="5490" spans="1:4" ht="30">
      <c r="A5490" s="5" t="str">
        <f>HYPERLINK("https://www.oit.va.gov/Services/TRM/ToolPage.aspx?tid=11684^","Wireless Information System for Emergency Responders (WISER)")</f>
        <v>Wireless Information System for Emergency Responders (WISER)</v>
      </c>
      <c r="B5490" s="4" t="s">
        <v>5598</v>
      </c>
      <c r="C5490" s="8" t="s">
        <v>5</v>
      </c>
      <c r="D5490" s="11" t="s">
        <v>3647</v>
      </c>
    </row>
    <row r="5491" spans="1:4" ht="30">
      <c r="A5491" s="5" t="str">
        <f>HYPERLINK("https://www.oit.va.gov/Services/TRM/ToolPage.aspx?tid=10917^","LabVIEW Run-Time Engine (RTE)")</f>
        <v>LabVIEW Run-Time Engine (RTE)</v>
      </c>
      <c r="B5491" s="4" t="s">
        <v>1683</v>
      </c>
      <c r="C5491" s="8" t="s">
        <v>5</v>
      </c>
      <c r="D5491" s="11" t="s">
        <v>1684</v>
      </c>
    </row>
    <row r="5492" spans="1:4" ht="30">
      <c r="A5492" s="5" t="str">
        <f>HYPERLINK("https://www.oit.va.gov/Services/TRM/ToolPage.aspx?tid=16180^","National Instruments LabWindows/CVI")</f>
        <v>National Instruments LabWindows/CVI</v>
      </c>
      <c r="B5492" s="4" t="s">
        <v>1683</v>
      </c>
      <c r="C5492" s="8" t="s">
        <v>5</v>
      </c>
      <c r="D5492" s="11" t="s">
        <v>2759</v>
      </c>
    </row>
    <row r="5493" spans="1:4" ht="30">
      <c r="A5493" s="5" t="str">
        <f>HYPERLINK("https://www.oit.va.gov/Services/TRM/ToolPage.aspx?tid=7555^","LabVIEW Professional Development System")</f>
        <v>LabVIEW Professional Development System</v>
      </c>
      <c r="B5493" s="4" t="s">
        <v>1683</v>
      </c>
      <c r="C5493" s="8" t="s">
        <v>5</v>
      </c>
      <c r="D5493" s="11" t="s">
        <v>5904</v>
      </c>
    </row>
    <row r="5494" spans="1:4" ht="30">
      <c r="A5494" s="5" t="str">
        <f>HYPERLINK("https://www.oit.va.gov/Services/TRM/ToolPage.aspx?tid=9062^","MetaMap")</f>
        <v>MetaMap</v>
      </c>
      <c r="B5494" s="4" t="s">
        <v>4408</v>
      </c>
      <c r="C5494" s="8" t="s">
        <v>5</v>
      </c>
      <c r="D5494" s="11" t="s">
        <v>1698</v>
      </c>
    </row>
    <row r="5495" spans="1:4" ht="30">
      <c r="A5495" s="5" t="str">
        <f>HYPERLINK("https://www.oit.va.gov/Services/TRM/ToolPage.aspx?tid=9234^","MetaMap Unstructured Information Management Architecture (UIMA) Annotator")</f>
        <v>MetaMap Unstructured Information Management Architecture (UIMA) Annotator</v>
      </c>
      <c r="B5495" s="4" t="s">
        <v>4408</v>
      </c>
      <c r="C5495" s="8" t="s">
        <v>5</v>
      </c>
      <c r="D5495" s="11" t="s">
        <v>4927</v>
      </c>
    </row>
    <row r="5496" spans="1:4" ht="30">
      <c r="A5496" s="5" t="str">
        <f>HYPERLINK("https://www.oit.va.gov/Services/TRM/StandardPage.aspx?tid=5221^","National Drug File Reference Terminology (NDF-RT)")</f>
        <v>National Drug File Reference Terminology (NDF-RT)</v>
      </c>
      <c r="B5496" s="4" t="s">
        <v>4408</v>
      </c>
      <c r="C5496" s="8" t="s">
        <v>5</v>
      </c>
      <c r="D5496" s="11" t="s">
        <v>694</v>
      </c>
    </row>
    <row r="5497" spans="1:4" ht="30">
      <c r="A5497" s="5" t="str">
        <f>HYPERLINK("https://www.oit.va.gov/Services/TRM/ToolPage.aspx?tid=8498^","SemRep")</f>
        <v>SemRep</v>
      </c>
      <c r="B5497" s="4" t="s">
        <v>4408</v>
      </c>
      <c r="C5497" s="8" t="s">
        <v>5</v>
      </c>
      <c r="D5497" s="11" t="s">
        <v>8614</v>
      </c>
    </row>
    <row r="5498" spans="1:4" ht="30">
      <c r="A5498" s="5" t="str">
        <f>HYPERLINK("https://www.oit.va.gov/Services/TRM/ToolPage.aspx?tid=8833^","Computer-Aided Management of Emergency Operations (CAMEO) Chemicals")</f>
        <v>Computer-Aided Management of Emergency Operations (CAMEO) Chemicals</v>
      </c>
      <c r="B5498" s="4" t="s">
        <v>2484</v>
      </c>
      <c r="C5498" s="8" t="s">
        <v>5</v>
      </c>
      <c r="D5498" s="11" t="s">
        <v>2415</v>
      </c>
    </row>
    <row r="5499" spans="1:4" ht="30">
      <c r="A5499" s="5" t="str">
        <f>HYPERLINK("https://www.oit.va.gov/Services/TRM/ToolPage.aspx?tid=9015^","ALOHA (Areal Locations of Hazardous Atmospheres)")</f>
        <v>ALOHA (Areal Locations of Hazardous Atmospheres)</v>
      </c>
      <c r="B5499" s="4" t="s">
        <v>2484</v>
      </c>
      <c r="C5499" s="8" t="s">
        <v>5</v>
      </c>
      <c r="D5499" s="11" t="s">
        <v>5044</v>
      </c>
    </row>
    <row r="5500" spans="1:4" ht="30">
      <c r="A5500" s="5" t="str">
        <f>HYPERLINK("https://www.oit.va.gov/Services/TRM/ToolPage.aspx?tid=8911^","Computer-Aided Management of Emergency Operations (CAMEO) Data Manager")</f>
        <v>Computer-Aided Management of Emergency Operations (CAMEO) Data Manager</v>
      </c>
      <c r="B5500" s="4" t="s">
        <v>2484</v>
      </c>
      <c r="C5500" s="8" t="s">
        <v>5</v>
      </c>
      <c r="D5500" s="11" t="s">
        <v>5117</v>
      </c>
    </row>
    <row r="5501" spans="1:4" ht="30">
      <c r="A5501" s="5" t="str">
        <f>HYPERLINK("https://www.oit.va.gov/Services/TRM/ToolPage.aspx?tid=8759^","Mapping Applications for Response, Planning, and Local Operational Tasks (MARPLOT)")</f>
        <v>Mapping Applications for Response, Planning, and Local Operational Tasks (MARPLOT)</v>
      </c>
      <c r="B5501" s="4" t="s">
        <v>2484</v>
      </c>
      <c r="C5501" s="8" t="s">
        <v>5</v>
      </c>
      <c r="D5501" s="11" t="s">
        <v>434</v>
      </c>
    </row>
    <row r="5502" spans="1:4" ht="30">
      <c r="A5502" s="5" t="str">
        <f>HYPERLINK("https://www.oit.va.gov/Services/TRM/ToolPage.aspx?tid=15162^","OpenStudio")</f>
        <v>OpenStudio</v>
      </c>
      <c r="B5502" s="4" t="s">
        <v>3431</v>
      </c>
      <c r="C5502" s="8" t="s">
        <v>5</v>
      </c>
      <c r="D5502" s="11" t="s">
        <v>776</v>
      </c>
    </row>
    <row r="5503" spans="1:4" ht="30">
      <c r="A5503" s="5" t="str">
        <f>HYPERLINK("https://www.oit.va.gov/Services/TRM/ToolPage.aspx?tid=14932^","EnergyPlus")</f>
        <v>EnergyPlus</v>
      </c>
      <c r="B5503" s="4" t="s">
        <v>3431</v>
      </c>
      <c r="C5503" s="8" t="s">
        <v>5</v>
      </c>
      <c r="D5503" s="11" t="s">
        <v>2254</v>
      </c>
    </row>
    <row r="5504" spans="1:4" ht="30">
      <c r="A5504" s="5" t="str">
        <f>HYPERLINK("https://www.oit.va.gov/Services/TRM/ToolPage.aspx?tid=15182^","System Advisor Model")</f>
        <v>System Advisor Model</v>
      </c>
      <c r="B5504" s="4" t="s">
        <v>3431</v>
      </c>
      <c r="C5504" s="8" t="s">
        <v>5</v>
      </c>
      <c r="D5504" s="11" t="s">
        <v>1951</v>
      </c>
    </row>
    <row r="5505" spans="1:4" ht="30">
      <c r="A5505" s="5" t="str">
        <f>HYPERLINK("https://www.oit.va.gov/Services/TRM/ToolPage.aspx?tid=8634^","Report Commander")</f>
        <v>Report Commander</v>
      </c>
      <c r="B5505" s="4" t="s">
        <v>8560</v>
      </c>
      <c r="C5505" s="8" t="s">
        <v>5</v>
      </c>
      <c r="D5505" s="11" t="s">
        <v>6367</v>
      </c>
    </row>
    <row r="5506" spans="1:4" ht="30">
      <c r="A5506" s="5" t="str">
        <f>HYPERLINK("https://www.oit.va.gov/Services/TRM/ToolPage.aspx?tid=10283^","Medicare Code Editor (MCE)")</f>
        <v>Medicare Code Editor (MCE)</v>
      </c>
      <c r="B5506" s="4" t="s">
        <v>6846</v>
      </c>
      <c r="C5506" s="8" t="s">
        <v>5</v>
      </c>
      <c r="D5506" s="11" t="s">
        <v>6847</v>
      </c>
    </row>
    <row r="5507" spans="1:4" ht="30">
      <c r="A5507" s="5" t="str">
        <f>HYPERLINK("https://www.oit.va.gov/Services/TRM/StandardPage.aspx?tid=6358^","National Uniform Billing Committee (NUBC) Uniform Bill Patient Discharge Status Codes")</f>
        <v>National Uniform Billing Committee (NUBC) Uniform Bill Patient Discharge Status Codes</v>
      </c>
      <c r="B5507" s="4" t="s">
        <v>8303</v>
      </c>
      <c r="C5507" s="8" t="s">
        <v>5</v>
      </c>
      <c r="D5507" s="11" t="s">
        <v>8301</v>
      </c>
    </row>
    <row r="5508" spans="1:4" ht="30">
      <c r="A5508" s="5" t="str">
        <f>HYPERLINK("https://www.oit.va.gov/Services/TRM/ToolPage.aspx?tid=13756^","SmartNav")</f>
        <v>SmartNav</v>
      </c>
      <c r="B5508" s="4" t="s">
        <v>8678</v>
      </c>
      <c r="C5508" s="8" t="s">
        <v>5</v>
      </c>
      <c r="D5508" s="11" t="s">
        <v>8679</v>
      </c>
    </row>
    <row r="5509" spans="1:4" ht="30">
      <c r="A5509" s="5" t="str">
        <f>HYPERLINK("https://www.oit.va.gov/Services/TRM/ToolPage.aspx?tid=6435^","NaturalReader")</f>
        <v>NaturalReader</v>
      </c>
      <c r="B5509" s="4" t="s">
        <v>8304</v>
      </c>
      <c r="C5509" s="8" t="s">
        <v>5</v>
      </c>
      <c r="D5509" s="11" t="s">
        <v>3395</v>
      </c>
    </row>
    <row r="5510" spans="1:4" ht="30">
      <c r="A5510" s="5" t="str">
        <f>HYPERLINK("https://www.oit.va.gov/Services/TRM/ToolPage.aspx?tid=16009^","Otosuite Vestibular")</f>
        <v>Otosuite Vestibular</v>
      </c>
      <c r="B5510" s="4" t="s">
        <v>235</v>
      </c>
      <c r="C5510" s="8" t="s">
        <v>5</v>
      </c>
      <c r="D5510" s="11" t="s">
        <v>236</v>
      </c>
    </row>
    <row r="5511" spans="1:4" ht="30">
      <c r="A5511" s="5" t="str">
        <f>HYPERLINK("https://www.oit.va.gov/Services/TRM/ToolPage.aspx?tid=16226^","Natus Elite")</f>
        <v>Natus Elite</v>
      </c>
      <c r="B5511" s="4" t="s">
        <v>235</v>
      </c>
      <c r="C5511" s="8" t="s">
        <v>5</v>
      </c>
      <c r="D5511" s="11" t="s">
        <v>442</v>
      </c>
    </row>
    <row r="5512" spans="1:4" ht="30">
      <c r="A5512" s="5" t="str">
        <f>HYPERLINK("https://www.oit.va.gov/Services/TRM/ToolPage.aspx?tid=15468^","Bio-Link Software")</f>
        <v>Bio-Link Software</v>
      </c>
      <c r="B5512" s="4" t="s">
        <v>235</v>
      </c>
      <c r="C5512" s="8" t="s">
        <v>5</v>
      </c>
      <c r="D5512" s="11" t="s">
        <v>940</v>
      </c>
    </row>
    <row r="5513" spans="1:4" ht="30">
      <c r="A5513" s="5" t="str">
        <f>HYPERLINK("https://www.oit.va.gov/Services/TRM/ToolPage.aspx?tid=7519^","RemLogic")</f>
        <v>RemLogic</v>
      </c>
      <c r="B5513" s="4" t="s">
        <v>235</v>
      </c>
      <c r="C5513" s="8" t="s">
        <v>5</v>
      </c>
      <c r="D5513" s="11" t="s">
        <v>1091</v>
      </c>
    </row>
    <row r="5514" spans="1:4" ht="30">
      <c r="A5514" s="5" t="str">
        <f>HYPERLINK("https://www.oit.va.gov/Services/TRM/ToolPage.aspx?tid=6727^","Sandman Elite")</f>
        <v>Sandman Elite</v>
      </c>
      <c r="B5514" s="4" t="s">
        <v>235</v>
      </c>
      <c r="C5514" s="8" t="s">
        <v>5</v>
      </c>
      <c r="D5514" s="11" t="s">
        <v>1094</v>
      </c>
    </row>
    <row r="5515" spans="1:4" ht="30">
      <c r="A5515" s="5" t="str">
        <f>HYPERLINK("https://www.oit.va.gov/Services/TRM/ToolPage.aspx?tid=9701^","TWin Polysomnography (PSG)")</f>
        <v>TWin Polysomnography (PSG)</v>
      </c>
      <c r="B5515" s="4" t="s">
        <v>235</v>
      </c>
      <c r="C5515" s="8" t="s">
        <v>5</v>
      </c>
      <c r="D5515" s="11" t="s">
        <v>1216</v>
      </c>
    </row>
    <row r="5516" spans="1:4" ht="30">
      <c r="A5516" s="5" t="str">
        <f>HYPERLINK("https://www.oit.va.gov/Services/TRM/ToolPage.aspx?tid=15525^","Hi-Pro 2")</f>
        <v>Hi-Pro 2</v>
      </c>
      <c r="B5516" s="4" t="s">
        <v>235</v>
      </c>
      <c r="C5516" s="8" t="s">
        <v>5</v>
      </c>
      <c r="D5516" s="11" t="s">
        <v>1600</v>
      </c>
    </row>
    <row r="5517" spans="1:4" ht="30">
      <c r="A5517" s="5" t="str">
        <f>HYPERLINK("https://www.oit.va.gov/Services/TRM/ToolPage.aspx?tid=9624^","NeuroWorks")</f>
        <v>NeuroWorks</v>
      </c>
      <c r="B5517" s="4" t="s">
        <v>235</v>
      </c>
      <c r="C5517" s="8" t="s">
        <v>5</v>
      </c>
      <c r="D5517" s="11" t="s">
        <v>1725</v>
      </c>
    </row>
    <row r="5518" spans="1:4" ht="30">
      <c r="A5518" s="5" t="str">
        <f>HYPERLINK("https://www.oit.va.gov/Services/TRM/ToolPage.aspx?tid=10945^","Bio-logic Navigator Pro Auditory Evoked Potentials (AEP)")</f>
        <v>Bio-logic Navigator Pro Auditory Evoked Potentials (AEP)</v>
      </c>
      <c r="B5518" s="4" t="s">
        <v>235</v>
      </c>
      <c r="C5518" s="8" t="s">
        <v>5</v>
      </c>
      <c r="D5518" s="11" t="s">
        <v>3171</v>
      </c>
    </row>
    <row r="5519" spans="1:4" ht="30">
      <c r="A5519" s="5" t="str">
        <f>HYPERLINK("https://www.oit.va.gov/Services/TRM/ToolPage.aspx?tid=10948^","Bio-logic Scout Sport")</f>
        <v>Bio-logic Scout Sport</v>
      </c>
      <c r="B5519" s="4" t="s">
        <v>235</v>
      </c>
      <c r="C5519" s="8" t="s">
        <v>5</v>
      </c>
      <c r="D5519" s="11" t="s">
        <v>3172</v>
      </c>
    </row>
    <row r="5520" spans="1:4" ht="30">
      <c r="A5520" s="5" t="str">
        <f>HYPERLINK("https://www.oit.va.gov/Services/TRM/ToolPage.aspx?tid=10947^","Multiple Auditory STeady-State Evoked Response (MASTER II)")</f>
        <v>Multiple Auditory STeady-State Evoked Response (MASTER II)</v>
      </c>
      <c r="B5520" s="4" t="s">
        <v>235</v>
      </c>
      <c r="C5520" s="8" t="s">
        <v>5</v>
      </c>
      <c r="D5520" s="11" t="s">
        <v>1108</v>
      </c>
    </row>
    <row r="5521" spans="1:4" ht="30">
      <c r="A5521" s="5" t="str">
        <f>HYPERLINK("https://www.oit.va.gov/Services/TRM/ToolPage.aspx?tid=7814^","Nicolet NicVue Connect")</f>
        <v>Nicolet NicVue Connect</v>
      </c>
      <c r="B5521" s="4" t="s">
        <v>235</v>
      </c>
      <c r="C5521" s="8" t="s">
        <v>5</v>
      </c>
      <c r="D5521" s="11" t="s">
        <v>3412</v>
      </c>
    </row>
    <row r="5522" spans="1:4" ht="30">
      <c r="A5522" s="5" t="str">
        <f>HYPERLINK("https://www.oit.va.gov/Services/TRM/ToolPage.aspx?tid=7815^","Nicolet NicVue Software")</f>
        <v>Nicolet NicVue Software</v>
      </c>
      <c r="B5522" s="4" t="s">
        <v>235</v>
      </c>
      <c r="C5522" s="8" t="s">
        <v>5</v>
      </c>
      <c r="D5522" s="11" t="s">
        <v>3412</v>
      </c>
    </row>
    <row r="5523" spans="1:4" ht="30">
      <c r="A5523" s="5" t="str">
        <f>HYPERLINK("https://www.oit.va.gov/Services/TRM/ToolPage.aspx?tid=16704^","PBI Inspector")</f>
        <v>PBI Inspector</v>
      </c>
      <c r="B5523" s="4" t="s">
        <v>4582</v>
      </c>
      <c r="C5523" s="8" t="s">
        <v>5</v>
      </c>
      <c r="D5523" s="11" t="s">
        <v>2005</v>
      </c>
    </row>
    <row r="5524" spans="1:4" ht="30">
      <c r="A5524" s="5" t="str">
        <f>HYPERLINK("https://www.oit.va.gov/Services/TRM/ToolPage.aspx?tid=11786^","Navex Policy Tech")</f>
        <v>Navex Policy Tech</v>
      </c>
      <c r="B5524" s="4" t="s">
        <v>6908</v>
      </c>
      <c r="C5524" s="8" t="s">
        <v>5</v>
      </c>
      <c r="D5524" s="11" t="s">
        <v>1215</v>
      </c>
    </row>
    <row r="5525" spans="1:4" ht="30">
      <c r="A5525" s="5" t="str">
        <f>HYPERLINK("https://www.oit.va.gov/Services/TRM/ToolPage.aspx?tid=11584^","PolicyTech WordModule Plus Plugin")</f>
        <v>PolicyTech WordModule Plus Plugin</v>
      </c>
      <c r="B5525" s="4" t="s">
        <v>6908</v>
      </c>
      <c r="C5525" s="8" t="s">
        <v>5</v>
      </c>
      <c r="D5525" s="11" t="s">
        <v>7010</v>
      </c>
    </row>
    <row r="5526" spans="1:4" ht="30">
      <c r="A5526" s="5" t="str">
        <f>HYPERLINK("https://www.oit.va.gov/Services/TRM/ToolPage.aspx?tid=11073^","NAVFIT98A")</f>
        <v>NAVFIT98A</v>
      </c>
      <c r="B5526" s="4" t="s">
        <v>2791</v>
      </c>
      <c r="C5526" s="8" t="s">
        <v>5</v>
      </c>
      <c r="D5526" s="11" t="s">
        <v>2792</v>
      </c>
    </row>
    <row r="5527" spans="1:4" ht="30">
      <c r="A5527" s="5" t="str">
        <f>HYPERLINK("https://www.oit.va.gov/Services/TRM/ToolPage.aspx?tid=11798^","NcFTP")</f>
        <v>NcFTP</v>
      </c>
      <c r="B5527" s="4" t="s">
        <v>8305</v>
      </c>
      <c r="C5527" s="8" t="s">
        <v>5</v>
      </c>
      <c r="D5527" s="11" t="s">
        <v>6219</v>
      </c>
    </row>
    <row r="5528" spans="1:4" ht="30">
      <c r="A5528" s="5" t="str">
        <f>HYPERLINK("https://www.oit.va.gov/Services/TRM/ToolPage.aspx?tid=10534^","Express Dictate Digital Dictation Software")</f>
        <v>Express Dictate Digital Dictation Software</v>
      </c>
      <c r="B5528" s="4" t="s">
        <v>2572</v>
      </c>
      <c r="C5528" s="8" t="s">
        <v>5</v>
      </c>
      <c r="D5528" s="11" t="s">
        <v>2573</v>
      </c>
    </row>
    <row r="5529" spans="1:4" ht="30">
      <c r="A5529" s="5" t="str">
        <f>HYPERLINK("https://www.oit.va.gov/Services/TRM/ToolPage.aspx?tid=7102^","Express Scribe")</f>
        <v>Express Scribe</v>
      </c>
      <c r="B5529" s="4" t="s">
        <v>2572</v>
      </c>
      <c r="C5529" s="8" t="s">
        <v>5</v>
      </c>
      <c r="D5529" s="11" t="s">
        <v>2574</v>
      </c>
    </row>
    <row r="5530" spans="1:4" ht="30">
      <c r="A5530" s="5" t="str">
        <f>HYPERLINK("https://www.oit.va.gov/Services/TRM/ToolPage.aspx?tid=6150^","Switch Sound File Converter")</f>
        <v>Switch Sound File Converter</v>
      </c>
      <c r="B5530" s="4" t="s">
        <v>2572</v>
      </c>
      <c r="C5530" s="8" t="s">
        <v>5</v>
      </c>
      <c r="D5530" s="11" t="s">
        <v>3008</v>
      </c>
    </row>
    <row r="5531" spans="1:4" ht="30">
      <c r="A5531" s="5" t="str">
        <f>HYPERLINK("https://www.oit.va.gov/Services/TRM/ToolPage.aspx?tid=16660^","PhotoPad")</f>
        <v>PhotoPad</v>
      </c>
      <c r="B5531" s="4" t="s">
        <v>2572</v>
      </c>
      <c r="C5531" s="8" t="s">
        <v>5</v>
      </c>
      <c r="D5531" s="11" t="s">
        <v>4598</v>
      </c>
    </row>
    <row r="5532" spans="1:4" ht="30">
      <c r="A5532" s="5" t="str">
        <f>HYPERLINK("https://www.oit.va.gov/Services/TRM/ToolPage.aspx?tid=16658^","Pixillion")</f>
        <v>Pixillion</v>
      </c>
      <c r="B5532" s="4" t="s">
        <v>2572</v>
      </c>
      <c r="C5532" s="8" t="s">
        <v>5</v>
      </c>
      <c r="D5532" s="11" t="s">
        <v>1510</v>
      </c>
    </row>
    <row r="5533" spans="1:4" ht="30">
      <c r="A5533" s="5" t="str">
        <f>HYPERLINK("https://www.oit.va.gov/Services/TRM/ToolPage.aspx?tid=5948^","Disketch")</f>
        <v>Disketch</v>
      </c>
      <c r="B5533" s="4" t="s">
        <v>2572</v>
      </c>
      <c r="C5533" s="8" t="s">
        <v>5</v>
      </c>
      <c r="D5533" s="11" t="s">
        <v>5147</v>
      </c>
    </row>
    <row r="5534" spans="1:4" ht="30">
      <c r="A5534" s="5" t="str">
        <f>HYPERLINK("https://www.oit.va.gov/Services/TRM/ToolPage.aspx?tid=5975^","Express Rip")</f>
        <v>Express Rip</v>
      </c>
      <c r="B5534" s="4" t="s">
        <v>2572</v>
      </c>
      <c r="C5534" s="8" t="s">
        <v>5</v>
      </c>
      <c r="D5534" s="11" t="s">
        <v>51</v>
      </c>
    </row>
    <row r="5535" spans="1:4" ht="30">
      <c r="A5535" s="5" t="str">
        <f>HYPERLINK("https://www.oit.va.gov/Services/TRM/ToolPage.aspx?tid=5974^","Express Burn")</f>
        <v>Express Burn</v>
      </c>
      <c r="B5535" s="4" t="s">
        <v>2572</v>
      </c>
      <c r="C5535" s="8" t="s">
        <v>5</v>
      </c>
      <c r="D5535" s="11" t="s">
        <v>6597</v>
      </c>
    </row>
    <row r="5536" spans="1:4" ht="30">
      <c r="A5536" s="5" t="str">
        <f>HYPERLINK("https://www.oit.va.gov/Services/TRM/ToolPage.aspx?tid=13265^","WavePad Sound Editor")</f>
        <v>WavePad Sound Editor</v>
      </c>
      <c r="B5536" s="4" t="s">
        <v>2572</v>
      </c>
      <c r="C5536" s="8" t="s">
        <v>5</v>
      </c>
      <c r="D5536" s="11" t="s">
        <v>1800</v>
      </c>
    </row>
    <row r="5537" spans="1:4" ht="30">
      <c r="A5537" s="5" t="str">
        <f>HYPERLINK("https://www.oit.va.gov/Services/TRM/ToolPage.aspx?tid=5984^","Golden Records")</f>
        <v>Golden Records</v>
      </c>
      <c r="B5537" s="4" t="s">
        <v>2572</v>
      </c>
      <c r="C5537" s="8" t="s">
        <v>5</v>
      </c>
      <c r="D5537" s="11" t="s">
        <v>7990</v>
      </c>
    </row>
    <row r="5538" spans="1:4" ht="30">
      <c r="A5538" s="5" t="str">
        <f>HYPERLINK("https://www.oit.va.gov/Services/TRM/ToolPage.aspx?tid=6111^","Prism Video Converter")</f>
        <v>Prism Video Converter</v>
      </c>
      <c r="B5538" s="4" t="s">
        <v>2572</v>
      </c>
      <c r="C5538" s="8" t="s">
        <v>5</v>
      </c>
      <c r="D5538" s="11" t="s">
        <v>8055</v>
      </c>
    </row>
    <row r="5539" spans="1:4" ht="30">
      <c r="A5539" s="5" t="str">
        <f>HYPERLINK("https://www.oit.va.gov/Services/TRM/ToolPage.aspx?tid=6143^","SoundTap Streaming Audio Recorder")</f>
        <v>SoundTap Streaming Audio Recorder</v>
      </c>
      <c r="B5539" s="4" t="s">
        <v>2572</v>
      </c>
      <c r="C5539" s="8" t="s">
        <v>5</v>
      </c>
      <c r="D5539" s="11" t="s">
        <v>6406</v>
      </c>
    </row>
    <row r="5540" spans="1:4" ht="30">
      <c r="A5540" s="5" t="str">
        <f>HYPERLINK("https://www.oit.va.gov/Services/TRM/ToolPage.aspx?tid=7799^","Surveillance, Epidemiology, and End Results (SEER) Stat")</f>
        <v>Surveillance, Epidemiology, and End Results (SEER) Stat</v>
      </c>
      <c r="B5540" s="4" t="s">
        <v>3004</v>
      </c>
      <c r="C5540" s="8" t="s">
        <v>5</v>
      </c>
      <c r="D5540" s="11" t="s">
        <v>3005</v>
      </c>
    </row>
    <row r="5541" spans="1:4" ht="30">
      <c r="A5541" s="5" t="str">
        <f>HYPERLINK("https://www.oit.va.gov/Services/TRM/ToolPage.aspx?tid=14015^","Joinpoint")</f>
        <v>Joinpoint</v>
      </c>
      <c r="B5541" s="4" t="s">
        <v>3004</v>
      </c>
      <c r="C5541" s="8" t="s">
        <v>5</v>
      </c>
      <c r="D5541" s="11" t="s">
        <v>4314</v>
      </c>
    </row>
    <row r="5542" spans="1:4" ht="30">
      <c r="A5542" s="5" t="str">
        <f>HYPERLINK("https://www.oit.va.gov/Services/TRM/StandardPage.aspx?tid=5222^","National Cancer Institute (NCI) Enterprise Vocabulary System (EVS)")</f>
        <v>National Cancer Institute (NCI) Enterprise Vocabulary System (EVS)</v>
      </c>
      <c r="B5542" s="4" t="s">
        <v>3004</v>
      </c>
      <c r="C5542" s="8" t="s">
        <v>5</v>
      </c>
      <c r="D5542" s="11" t="s">
        <v>5371</v>
      </c>
    </row>
    <row r="5543" spans="1:4" ht="30">
      <c r="A5543" s="5" t="str">
        <f>HYPERLINK("https://www.oit.va.gov/Services/TRM/ToolPage.aspx?tid=7606^","Surveillance, Epidemiology, and End Results (SEER) Abstract Addendum Generator")</f>
        <v>Surveillance, Epidemiology, and End Results (SEER) Abstract Addendum Generator</v>
      </c>
      <c r="B5543" s="4" t="s">
        <v>3004</v>
      </c>
      <c r="C5543" s="8" t="s">
        <v>5</v>
      </c>
      <c r="D5543" s="11" t="s">
        <v>8759</v>
      </c>
    </row>
    <row r="5544" spans="1:4" ht="30">
      <c r="A5544" s="5" t="str">
        <f>HYPERLINK("https://www.oit.va.gov/Services/TRM/ToolPage.aspx?tid=15776^","nCoup Investigational Drug System (IDS)")</f>
        <v>nCoup Investigational Drug System (IDS)</v>
      </c>
      <c r="B5544" s="4" t="s">
        <v>232</v>
      </c>
      <c r="C5544" s="8" t="s">
        <v>5</v>
      </c>
      <c r="D5544" s="11" t="s">
        <v>233</v>
      </c>
    </row>
    <row r="5545" spans="1:4" ht="30">
      <c r="A5545" s="5" t="str">
        <f>HYPERLINK("https://www.oit.va.gov/Services/TRM/ToolPage.aspx?tid=15377^","NCover")</f>
        <v>NCover</v>
      </c>
      <c r="B5545" s="4" t="s">
        <v>5961</v>
      </c>
      <c r="C5545" s="8" t="s">
        <v>5</v>
      </c>
      <c r="D5545" s="11" t="s">
        <v>5962</v>
      </c>
    </row>
    <row r="5546" spans="1:4" ht="30">
      <c r="A5546" s="5" t="str">
        <f>HYPERLINK("https://www.oit.va.gov/Services/TRM/StandardPage.aspx?tid=16313^","National Council for Prescription Drug Programs (NCPDP) SCRIPT")</f>
        <v>National Council for Prescription Drug Programs (NCPDP) SCRIPT</v>
      </c>
      <c r="B5546" s="4" t="s">
        <v>5372</v>
      </c>
      <c r="C5546" s="8" t="s">
        <v>5</v>
      </c>
      <c r="D5546" s="11" t="s">
        <v>679</v>
      </c>
    </row>
    <row r="5547" spans="1:4" ht="30">
      <c r="A5547" s="5" t="str">
        <f>HYPERLINK("https://www.oit.va.gov/Services/TRM/StandardPage.aspx?tid=9532^","National Council for Prescription Drug Programs (NCPDP) Formulary and Benefits")</f>
        <v>National Council for Prescription Drug Programs (NCPDP) Formulary and Benefits</v>
      </c>
      <c r="B5547" s="4" t="s">
        <v>5372</v>
      </c>
      <c r="C5547" s="8" t="s">
        <v>5</v>
      </c>
      <c r="D5547" s="11" t="s">
        <v>679</v>
      </c>
    </row>
    <row r="5548" spans="1:4" ht="30">
      <c r="A5548" s="5" t="str">
        <f>HYPERLINK("https://www.oit.va.gov/Services/TRM/StandardPage.aspx?tid=16877^","NCPDP Real-Time Prescription Benefit (RTPB) Standard")</f>
        <v>NCPDP Real-Time Prescription Benefit (RTPB) Standard</v>
      </c>
      <c r="B5548" s="4" t="s">
        <v>5372</v>
      </c>
      <c r="C5548" s="8" t="s">
        <v>5</v>
      </c>
      <c r="D5548" s="11" t="s">
        <v>6912</v>
      </c>
    </row>
    <row r="5549" spans="1:4" ht="30">
      <c r="A5549" s="5" t="str">
        <f>HYPERLINK("https://www.oit.va.gov/Services/TRM/StandardPage.aspx?tid=5214^","National Council for Prescription Drug Programs (NCPDP) Telecommunication Standards")</f>
        <v>National Council for Prescription Drug Programs (NCPDP) Telecommunication Standards</v>
      </c>
      <c r="B5549" s="4" t="s">
        <v>5372</v>
      </c>
      <c r="C5549" s="8" t="s">
        <v>5</v>
      </c>
      <c r="D5549" s="11" t="s">
        <v>8301</v>
      </c>
    </row>
    <row r="5550" spans="1:4" ht="30">
      <c r="A5550" s="5" t="str">
        <f>HYPERLINK("https://www.oit.va.gov/Services/TRM/ToolPage.aspx?tid=8372^","Vitalcast")</f>
        <v>Vitalcast</v>
      </c>
      <c r="B5550" s="4" t="s">
        <v>5581</v>
      </c>
      <c r="C5550" s="8" t="s">
        <v>5</v>
      </c>
      <c r="D5550" s="11" t="s">
        <v>5582</v>
      </c>
    </row>
    <row r="5551" spans="1:4" ht="30">
      <c r="A5551" s="5" t="str">
        <f>HYPERLINK("https://www.oit.va.gov/Services/TRM/ToolPage.aspx?tid=12865^","Retail Platform Software for Windows (RPSW)")</f>
        <v>Retail Platform Software for Windows (RPSW)</v>
      </c>
      <c r="B5551" s="4" t="s">
        <v>5581</v>
      </c>
      <c r="C5551" s="8" t="s">
        <v>5</v>
      </c>
      <c r="D5551" s="11" t="s">
        <v>8482</v>
      </c>
    </row>
    <row r="5552" spans="1:4" ht="30">
      <c r="A5552" s="5" t="str">
        <f>HYPERLINK("https://www.oit.va.gov/Services/TRM/ToolPage.aspx?tid=11433^","Number Cruncher Statistical Systems (NCSS)")</f>
        <v>Number Cruncher Statistical Systems (NCSS)</v>
      </c>
      <c r="B5552" s="4" t="s">
        <v>2807</v>
      </c>
      <c r="C5552" s="8" t="s">
        <v>5</v>
      </c>
      <c r="D5552" s="11" t="s">
        <v>2808</v>
      </c>
    </row>
    <row r="5553" spans="1:4" ht="30">
      <c r="A5553" s="5" t="str">
        <f>HYPERLINK("https://www.oit.va.gov/Services/TRM/ToolPage.aspx?tid=7772^","Power Analysis &amp; Sample Size (PASS)")</f>
        <v>Power Analysis &amp; Sample Size (PASS)</v>
      </c>
      <c r="B5553" s="4" t="s">
        <v>2807</v>
      </c>
      <c r="C5553" s="8" t="s">
        <v>5</v>
      </c>
      <c r="D5553" s="11" t="s">
        <v>2872</v>
      </c>
    </row>
    <row r="5554" spans="1:4" ht="30">
      <c r="A5554" s="5" t="str">
        <f>HYPERLINK("https://www.oit.va.gov/Services/TRM/ToolPage.aspx?tid=9824^","EasyOne Connect")</f>
        <v>EasyOne Connect</v>
      </c>
      <c r="B5554" s="4" t="s">
        <v>978</v>
      </c>
      <c r="C5554" s="8" t="s">
        <v>5</v>
      </c>
      <c r="D5554" s="11" t="s">
        <v>979</v>
      </c>
    </row>
    <row r="5555" spans="1:4" ht="30">
      <c r="A5555" s="5" t="str">
        <f>HYPERLINK("https://www.oit.va.gov/Services/TRM/ToolPage.aspx?tid=7807^","EasyWare")</f>
        <v>EasyWare</v>
      </c>
      <c r="B5555" s="4" t="s">
        <v>978</v>
      </c>
      <c r="C5555" s="8" t="s">
        <v>5</v>
      </c>
      <c r="D5555" s="11" t="s">
        <v>980</v>
      </c>
    </row>
    <row r="5556" spans="1:4" ht="30">
      <c r="A5556" s="5" t="str">
        <f>HYPERLINK("https://www.oit.va.gov/Services/TRM/ToolPage.aspx?tid=14748^","Dome CXtra")</f>
        <v>Dome CXtra</v>
      </c>
      <c r="B5556" s="4" t="s">
        <v>3262</v>
      </c>
      <c r="C5556" s="8" t="s">
        <v>5</v>
      </c>
      <c r="D5556" s="11" t="s">
        <v>3263</v>
      </c>
    </row>
    <row r="5557" spans="1:4" ht="30">
      <c r="A5557" s="5" t="str">
        <f>HYPERLINK("https://www.oit.va.gov/Services/TRM/ToolPage.aspx?tid=9983^","NearStar DataServer")</f>
        <v>NearStar DataServer</v>
      </c>
      <c r="B5557" s="4" t="s">
        <v>1761</v>
      </c>
      <c r="C5557" s="8" t="s">
        <v>5</v>
      </c>
      <c r="D5557" s="11" t="s">
        <v>1762</v>
      </c>
    </row>
    <row r="5558" spans="1:4" ht="30">
      <c r="A5558" s="5" t="str">
        <f>HYPERLINK("https://www.oit.va.gov/Services/TRM/ToolPage.aspx?tid=14880^","NearStar Job Entry Subsystem (JES) DataGateway (NJDG)")</f>
        <v>NearStar Job Entry Subsystem (JES) DataGateway (NJDG)</v>
      </c>
      <c r="B5558" s="4" t="s">
        <v>1761</v>
      </c>
      <c r="C5558" s="8" t="s">
        <v>5</v>
      </c>
      <c r="D5558" s="11" t="s">
        <v>3407</v>
      </c>
    </row>
    <row r="5559" spans="1:4" ht="30">
      <c r="A5559" s="5" t="str">
        <f>HYPERLINK("https://www.oit.va.gov/Services/TRM/ToolPage.aspx?tid=10553^","NeatDesk Scanner Software")</f>
        <v>NeatDesk Scanner Software</v>
      </c>
      <c r="B5559" s="4" t="s">
        <v>8308</v>
      </c>
      <c r="C5559" s="8" t="s">
        <v>5</v>
      </c>
      <c r="D5559" s="11" t="s">
        <v>7363</v>
      </c>
    </row>
    <row r="5560" spans="1:4" ht="30">
      <c r="A5560" s="5" t="str">
        <f>HYPERLINK("https://www.oit.va.gov/Services/TRM/ToolPage.aspx?tid=5983^","Global Navigator (GNAV) Pro")</f>
        <v>Global Navigator (GNAV) Pro</v>
      </c>
      <c r="B5560" s="4" t="s">
        <v>1576</v>
      </c>
      <c r="C5560" s="8" t="s">
        <v>5</v>
      </c>
      <c r="D5560" s="11" t="s">
        <v>1577</v>
      </c>
    </row>
    <row r="5561" spans="1:4" ht="30">
      <c r="A5561" s="5" t="str">
        <f>HYPERLINK("https://www.oit.va.gov/Services/TRM/ToolPage.aspx?tid=10959^","NEC CallCenterWorX Internal Automated Call Distributor (IACD)")</f>
        <v>NEC CallCenterWorX Internal Automated Call Distributor (IACD)</v>
      </c>
      <c r="B5561" s="4" t="s">
        <v>1576</v>
      </c>
      <c r="C5561" s="8" t="s">
        <v>5</v>
      </c>
      <c r="D5561" s="11" t="s">
        <v>2793</v>
      </c>
    </row>
    <row r="5562" spans="1:4" ht="30">
      <c r="A5562" s="5" t="str">
        <f>HYPERLINK("https://www.oit.va.gov/Services/TRM/ToolPage.aspx?tid=10463^","NEC SV9500 PCPro")</f>
        <v>NEC SV9500 PCPro</v>
      </c>
      <c r="B5562" s="4" t="s">
        <v>1576</v>
      </c>
      <c r="C5562" s="8" t="s">
        <v>5</v>
      </c>
      <c r="D5562" s="11" t="s">
        <v>672</v>
      </c>
    </row>
    <row r="5563" spans="1:4" ht="30">
      <c r="A5563" s="5" t="str">
        <f>HYPERLINK("https://www.oit.va.gov/Services/TRM/ToolPage.aspx?tid=9939^","NEC UC (Unified Communications) Attendant")</f>
        <v>NEC UC (Unified Communications) Attendant</v>
      </c>
      <c r="B5563" s="4" t="s">
        <v>1576</v>
      </c>
      <c r="C5563" s="8" t="s">
        <v>5</v>
      </c>
      <c r="D5563" s="11" t="s">
        <v>320</v>
      </c>
    </row>
    <row r="5564" spans="1:4" ht="30">
      <c r="A5564" s="5" t="str">
        <f>HYPERLINK("https://www.oit.va.gov/Services/TRM/ToolPage.aspx?tid=9949^","NEC Unified Messaging")</f>
        <v>NEC Unified Messaging</v>
      </c>
      <c r="B5564" s="4" t="s">
        <v>1576</v>
      </c>
      <c r="C5564" s="8" t="s">
        <v>5</v>
      </c>
      <c r="D5564" s="11" t="s">
        <v>4470</v>
      </c>
    </row>
    <row r="5565" spans="1:4" ht="30">
      <c r="A5565" s="5" t="str">
        <f>HYPERLINK("https://www.oit.va.gov/Services/TRM/ToolPage.aspx?tid=8511^","UC for Enterprise (UCE) Interactive Voice Response (IVR)")</f>
        <v>UC for Enterprise (UCE) Interactive Voice Response (IVR)</v>
      </c>
      <c r="B5565" s="4" t="s">
        <v>1576</v>
      </c>
      <c r="C5565" s="8" t="s">
        <v>5</v>
      </c>
      <c r="D5565" s="11" t="s">
        <v>49</v>
      </c>
    </row>
    <row r="5566" spans="1:4" ht="30">
      <c r="A5566" s="5" t="str">
        <f>HYPERLINK("https://www.oit.va.gov/Services/TRM/ToolPage.aspx?tid=10448^","Unified Communications Emergency On-Site Notification (UC E-OSN)")</f>
        <v>Unified Communications Emergency On-Site Notification (UC E-OSN)</v>
      </c>
      <c r="B5566" s="4" t="s">
        <v>1576</v>
      </c>
      <c r="C5566" s="8" t="s">
        <v>5</v>
      </c>
      <c r="D5566" s="11" t="s">
        <v>336</v>
      </c>
    </row>
    <row r="5567" spans="1:4" ht="30">
      <c r="A5567" s="5" t="str">
        <f>HYPERLINK("https://www.oit.va.gov/Services/TRM/ToolPage.aspx?tid=14364^","License Manager Client (LMC)")</f>
        <v>License Manager Client (LMC)</v>
      </c>
      <c r="B5567" s="4" t="s">
        <v>1576</v>
      </c>
      <c r="C5567" s="8" t="s">
        <v>5</v>
      </c>
      <c r="D5567" s="11" t="s">
        <v>3780</v>
      </c>
    </row>
    <row r="5568" spans="1:4" ht="30">
      <c r="A5568" s="5" t="str">
        <f>HYPERLINK("https://www.oit.va.gov/Services/TRM/ToolPage.aspx?tid=15475^","NEC CallCenterWorX Automated Call Distributor (ACD) for Business and Enterprise (B&amp;E) Server")</f>
        <v>NEC CallCenterWorX Automated Call Distributor (ACD) for Business and Enterprise (B&amp;E) Server</v>
      </c>
      <c r="B5568" s="4" t="s">
        <v>1576</v>
      </c>
      <c r="C5568" s="8" t="s">
        <v>5</v>
      </c>
      <c r="D5568" s="11" t="s">
        <v>5963</v>
      </c>
    </row>
    <row r="5569" spans="1:4" ht="45">
      <c r="A5569" s="5" t="str">
        <f>HYPERLINK("https://www.oit.va.gov/Services/TRM/ToolPage.aspx?tid=15476^","NEC CallCenterWorX Enterprise: Transmission Control Protocol/Internet Protocol (TCP/IP) Maintenance Administration Terminal (MAT)")</f>
        <v>NEC CallCenterWorX Enterprise: Transmission Control Protocol/Internet Protocol (TCP/IP) Maintenance Administration Terminal (MAT)</v>
      </c>
      <c r="B5569" s="4" t="s">
        <v>1576</v>
      </c>
      <c r="C5569" s="8" t="s">
        <v>5</v>
      </c>
      <c r="D5569" s="11" t="s">
        <v>1793</v>
      </c>
    </row>
    <row r="5570" spans="1:4" ht="30">
      <c r="A5570" s="5" t="str">
        <f>HYPERLINK("https://www.oit.va.gov/Services/TRM/ToolPage.aspx?tid=8776^","NEC SV8500 PCPro")</f>
        <v>NEC SV8500 PCPro</v>
      </c>
      <c r="B5570" s="4" t="s">
        <v>1576</v>
      </c>
      <c r="C5570" s="8" t="s">
        <v>5</v>
      </c>
      <c r="D5570" s="11" t="s">
        <v>1676</v>
      </c>
    </row>
    <row r="5571" spans="1:4" ht="30">
      <c r="A5571" s="5" t="str">
        <f>HYPERLINK("https://www.oit.va.gov/Services/TRM/ToolPage.aspx?tid=9940^","Unified Communications (UC) Manager")</f>
        <v>Unified Communications (UC) Manager</v>
      </c>
      <c r="B5571" s="4" t="s">
        <v>1576</v>
      </c>
      <c r="C5571" s="8" t="s">
        <v>5</v>
      </c>
      <c r="D5571" s="11" t="s">
        <v>6130</v>
      </c>
    </row>
    <row r="5572" spans="1:4" ht="30">
      <c r="A5572" s="5" t="str">
        <f>HYPERLINK("https://www.oit.va.gov/Services/TRM/ToolPage.aspx?tid=7585^","NEC UNIVERGE SP350 Soft Client")</f>
        <v>NEC UNIVERGE SP350 Soft Client</v>
      </c>
      <c r="B5572" s="4" t="s">
        <v>1576</v>
      </c>
      <c r="C5572" s="8" t="s">
        <v>5</v>
      </c>
      <c r="D5572" s="11" t="s">
        <v>376</v>
      </c>
    </row>
    <row r="5573" spans="1:4" ht="30">
      <c r="A5573" s="5" t="str">
        <f>HYPERLINK("https://www.oit.va.gov/Services/TRM/ToolPage.aspx?tid=8777^","NEC UNIVERGE SV8000 Series Personal Computer (PC) Pro/WebPro")</f>
        <v>NEC UNIVERGE SV8000 Series Personal Computer (PC) Pro/WebPro</v>
      </c>
      <c r="B5573" s="4" t="s">
        <v>1576</v>
      </c>
      <c r="C5573" s="8" t="s">
        <v>5</v>
      </c>
      <c r="D5573" s="11" t="s">
        <v>6914</v>
      </c>
    </row>
    <row r="5574" spans="1:4" ht="30">
      <c r="A5574" s="5" t="str">
        <f>HYPERLINK("https://www.oit.va.gov/Services/TRM/ToolPage.aspx?tid=9004^","SV9300 PCPro Suite")</f>
        <v>SV9300 PCPro Suite</v>
      </c>
      <c r="B5574" s="4" t="s">
        <v>1576</v>
      </c>
      <c r="C5574" s="8" t="s">
        <v>5</v>
      </c>
      <c r="D5574" s="11" t="s">
        <v>4635</v>
      </c>
    </row>
    <row r="5575" spans="1:4" ht="30">
      <c r="A5575" s="5" t="str">
        <f>HYPERLINK("https://www.oit.va.gov/Services/TRM/ToolPage.aspx?tid=11418^","Infocast")</f>
        <v>Infocast</v>
      </c>
      <c r="B5575" s="4" t="s">
        <v>1576</v>
      </c>
      <c r="C5575" s="8" t="s">
        <v>5</v>
      </c>
      <c r="D5575" s="11" t="s">
        <v>8078</v>
      </c>
    </row>
    <row r="5576" spans="1:4" ht="30">
      <c r="A5576" s="5" t="str">
        <f>HYPERLINK("https://www.oit.va.gov/Services/TRM/ToolPage.aspx?tid=11136^","MATWorX")</f>
        <v>MATWorX</v>
      </c>
      <c r="B5576" s="4" t="s">
        <v>1576</v>
      </c>
      <c r="C5576" s="8" t="s">
        <v>5</v>
      </c>
      <c r="D5576" s="11" t="s">
        <v>5447</v>
      </c>
    </row>
    <row r="5577" spans="1:4" ht="30">
      <c r="A5577" s="5" t="str">
        <f>HYPERLINK("https://www.oit.va.gov/Services/TRM/ToolPage.aspx?tid=14313^","Multiline Client (MLC)")</f>
        <v>Multiline Client (MLC)</v>
      </c>
      <c r="B5577" s="4" t="s">
        <v>1576</v>
      </c>
      <c r="C5577" s="8" t="s">
        <v>5</v>
      </c>
      <c r="D5577" s="11" t="s">
        <v>2311</v>
      </c>
    </row>
    <row r="5578" spans="1:4" ht="30">
      <c r="A5578" s="5" t="str">
        <f>HYPERLINK("https://www.oit.va.gov/Services/TRM/ToolPage.aspx?tid=11417^","NEC ESMPRO Agent")</f>
        <v>NEC ESMPRO Agent</v>
      </c>
      <c r="B5578" s="4" t="s">
        <v>1576</v>
      </c>
      <c r="C5578" s="8" t="s">
        <v>5</v>
      </c>
      <c r="D5578" s="11" t="s">
        <v>3559</v>
      </c>
    </row>
    <row r="5579" spans="1:4" ht="30">
      <c r="A5579" s="5" t="str">
        <f>HYPERLINK("https://www.oit.va.gov/Services/TRM/ToolPage.aspx?tid=10143^","NEC Internet Protocol (IP) Phone Manager")</f>
        <v>NEC Internet Protocol (IP) Phone Manager</v>
      </c>
      <c r="B5579" s="4" t="s">
        <v>1576</v>
      </c>
      <c r="C5579" s="8" t="s">
        <v>5</v>
      </c>
      <c r="D5579" s="11" t="s">
        <v>8309</v>
      </c>
    </row>
    <row r="5580" spans="1:4" ht="30">
      <c r="A5580" s="5" t="str">
        <f>HYPERLINK("https://www.oit.va.gov/Services/TRM/ToolPage.aspx?tid=9948^","NEC Unified Communications (UC) Application Platform")</f>
        <v>NEC Unified Communications (UC) Application Platform</v>
      </c>
      <c r="B5580" s="4" t="s">
        <v>1576</v>
      </c>
      <c r="C5580" s="8" t="s">
        <v>5</v>
      </c>
      <c r="D5580" s="11" t="s">
        <v>8310</v>
      </c>
    </row>
    <row r="5581" spans="1:4" ht="30">
      <c r="A5581" s="5" t="str">
        <f>HYPERLINK("https://www.oit.va.gov/Services/TRM/ToolPage.aspx?tid=5953^","NEC UNIVERGE SP30 Soft Client")</f>
        <v>NEC UNIVERGE SP30 Soft Client</v>
      </c>
      <c r="B5581" s="4" t="s">
        <v>1576</v>
      </c>
      <c r="C5581" s="8" t="s">
        <v>5</v>
      </c>
      <c r="D5581" s="11" t="s">
        <v>8311</v>
      </c>
    </row>
    <row r="5582" spans="1:4" ht="30">
      <c r="A5582" s="5" t="str">
        <f>HYPERLINK("https://www.oit.va.gov/Services/TRM/ToolPage.aspx?tid=14549^","NEC Virtual Wallboard")</f>
        <v>NEC Virtual Wallboard</v>
      </c>
      <c r="B5582" s="4" t="s">
        <v>1576</v>
      </c>
      <c r="C5582" s="8" t="s">
        <v>5</v>
      </c>
      <c r="D5582" s="11" t="s">
        <v>6862</v>
      </c>
    </row>
    <row r="5583" spans="1:4" ht="30">
      <c r="A5583" s="5" t="str">
        <f>HYPERLINK("https://www.oit.va.gov/Services/TRM/ToolPage.aspx?tid=11401^","SmartScan")</f>
        <v>SmartScan</v>
      </c>
      <c r="B5583" s="4" t="s">
        <v>1576</v>
      </c>
      <c r="C5583" s="8" t="s">
        <v>5</v>
      </c>
      <c r="D5583" s="11" t="s">
        <v>8604</v>
      </c>
    </row>
    <row r="5584" spans="1:4" ht="30">
      <c r="A5584" s="5" t="str">
        <f>HYPERLINK("https://www.oit.va.gov/Services/TRM/ToolPage.aspx?tid=9003^","SV8300 PCPro Suite")</f>
        <v>SV8300 PCPro Suite</v>
      </c>
      <c r="B5584" s="4" t="s">
        <v>1576</v>
      </c>
      <c r="C5584" s="8" t="s">
        <v>5</v>
      </c>
      <c r="D5584" s="11" t="s">
        <v>416</v>
      </c>
    </row>
    <row r="5585" spans="1:4" ht="30">
      <c r="A5585" s="5" t="str">
        <f>HYPERLINK("https://www.oit.va.gov/Services/TRM/ToolPage.aspx?tid=11766^","DocuPrinter")</f>
        <v>DocuPrinter</v>
      </c>
      <c r="B5585" s="4" t="s">
        <v>2112</v>
      </c>
      <c r="C5585" s="8" t="s">
        <v>5</v>
      </c>
      <c r="D5585" s="11" t="s">
        <v>2113</v>
      </c>
    </row>
    <row r="5586" spans="1:4" ht="30">
      <c r="A5586" s="5" t="str">
        <f>HYPERLINK("https://www.oit.va.gov/Services/TRM/ToolPage.aspx?tid=14718^","Digital Imaging and Communications in Medicine (DICOM) Izer")</f>
        <v>Digital Imaging and Communications in Medicine (DICOM) Izer</v>
      </c>
      <c r="B5586" s="4" t="s">
        <v>7768</v>
      </c>
      <c r="C5586" s="8" t="s">
        <v>5</v>
      </c>
      <c r="D5586" s="11" t="s">
        <v>4077</v>
      </c>
    </row>
    <row r="5587" spans="1:4" ht="30">
      <c r="A5587" s="5" t="str">
        <f>HYPERLINK("https://www.oit.va.gov/Services/TRM/StandardPage.aspx?tid=5213^","Digital Imaging and Communications in Medicine (DICOM)")</f>
        <v>Digital Imaging and Communications in Medicine (DICOM)</v>
      </c>
      <c r="B5587" s="4" t="s">
        <v>2110</v>
      </c>
      <c r="C5587" s="8" t="s">
        <v>5</v>
      </c>
      <c r="D5587" s="11" t="s">
        <v>2111</v>
      </c>
    </row>
    <row r="5588" spans="1:4" ht="30">
      <c r="A5588" s="5" t="str">
        <f>HYPERLINK("https://www.oit.va.gov/Services/TRM/ToolPage.aspx?tid=8020^","ModelTalker")</f>
        <v>ModelTalker</v>
      </c>
      <c r="B5588" s="4" t="s">
        <v>767</v>
      </c>
      <c r="C5588" s="8" t="s">
        <v>5</v>
      </c>
      <c r="D5588" s="11" t="s">
        <v>768</v>
      </c>
    </row>
    <row r="5589" spans="1:4" ht="30">
      <c r="A5589" s="5" t="str">
        <f>HYPERLINK("https://www.oit.va.gov/Services/TRM/ToolPage.aspx?tid=16767^","Always Mouse Wheel")</f>
        <v>Always Mouse Wheel</v>
      </c>
      <c r="B5589" s="4" t="s">
        <v>5631</v>
      </c>
      <c r="C5589" s="8" t="s">
        <v>5</v>
      </c>
      <c r="D5589" s="11" t="s">
        <v>5632</v>
      </c>
    </row>
    <row r="5590" spans="1:4" ht="30">
      <c r="A5590" s="5" t="str">
        <f>HYPERLINK("https://www.oit.va.gov/Services/TRM/ToolPage.aspx?tid=16642^","Neo4j Bloom")</f>
        <v>Neo4j Bloom</v>
      </c>
      <c r="B5590" s="4" t="s">
        <v>1763</v>
      </c>
      <c r="C5590" s="8" t="s">
        <v>5</v>
      </c>
      <c r="D5590" s="11" t="s">
        <v>1764</v>
      </c>
    </row>
    <row r="5591" spans="1:4" ht="30">
      <c r="A5591" s="5" t="str">
        <f>HYPERLINK("https://www.oit.va.gov/Services/TRM/ToolPage.aspx?tid=16637^","Neo4j Graph Data Science (GDS)")</f>
        <v>Neo4j Graph Data Science (GDS)</v>
      </c>
      <c r="B5591" s="4" t="s">
        <v>1763</v>
      </c>
      <c r="C5591" s="8" t="s">
        <v>5</v>
      </c>
      <c r="D5591" s="11" t="s">
        <v>1765</v>
      </c>
    </row>
    <row r="5592" spans="1:4" ht="30">
      <c r="A5592" s="5" t="str">
        <f>HYPERLINK("https://www.oit.va.gov/Services/TRM/ToolPage.aspx?tid=11038^","Neo4j Graph Database")</f>
        <v>Neo4j Graph Database</v>
      </c>
      <c r="B5592" s="4" t="s">
        <v>1763</v>
      </c>
      <c r="C5592" s="8" t="s">
        <v>5</v>
      </c>
      <c r="D5592" s="11" t="s">
        <v>2794</v>
      </c>
    </row>
    <row r="5593" spans="1:4" ht="30">
      <c r="A5593" s="5" t="str">
        <f>HYPERLINK("https://www.oit.va.gov/Services/TRM/ToolPage.aspx?tid=11187^","Barcode Professional for ASP.NET")</f>
        <v>Barcode Professional for ASP.NET</v>
      </c>
      <c r="B5593" s="4" t="s">
        <v>2406</v>
      </c>
      <c r="C5593" s="8" t="s">
        <v>5</v>
      </c>
      <c r="D5593" s="11" t="s">
        <v>2407</v>
      </c>
    </row>
    <row r="5594" spans="1:4" ht="30">
      <c r="A5594" s="5" t="str">
        <f>HYPERLINK("https://www.oit.va.gov/Services/TRM/ToolPage.aspx?tid=14708^","WebClientPrint Processor (WCPP)")</f>
        <v>WebClientPrint Processor (WCPP)</v>
      </c>
      <c r="B5594" s="4" t="s">
        <v>2406</v>
      </c>
      <c r="C5594" s="8" t="s">
        <v>5</v>
      </c>
      <c r="D5594" s="11" t="s">
        <v>2998</v>
      </c>
    </row>
    <row r="5595" spans="1:4" ht="30">
      <c r="A5595" s="5" t="str">
        <f>HYPERLINK("https://www.oit.va.gov/Services/TRM/ToolPage.aspx?tid=15585^","Clean-Trace Hygiene Monitoring and Management System")</f>
        <v>Clean-Trace Hygiene Monitoring and Management System</v>
      </c>
      <c r="B5595" s="4" t="s">
        <v>5711</v>
      </c>
      <c r="C5595" s="8" t="s">
        <v>5</v>
      </c>
      <c r="D5595" s="11" t="s">
        <v>3198</v>
      </c>
    </row>
    <row r="5596" spans="1:4" ht="30">
      <c r="A5596" s="5" t="str">
        <f>HYPERLINK("https://www.oit.va.gov/Services/TRM/ToolPage.aspx?tid=8982^","AccuPoint Data Manager")</f>
        <v>AccuPoint Data Manager</v>
      </c>
      <c r="B5596" s="4" t="s">
        <v>5711</v>
      </c>
      <c r="C5596" s="8" t="s">
        <v>5</v>
      </c>
      <c r="D5596" s="11" t="s">
        <v>7380</v>
      </c>
    </row>
    <row r="5597" spans="1:4" ht="30">
      <c r="A5597" s="5" t="str">
        <f>HYPERLINK("https://www.oit.va.gov/Services/TRM/ToolPage.aspx?tid=6513^","Clean-Trace Data Trending Software")</f>
        <v>Clean-Trace Data Trending Software</v>
      </c>
      <c r="B5597" s="4" t="s">
        <v>5711</v>
      </c>
      <c r="C5597" s="8" t="s">
        <v>5</v>
      </c>
      <c r="D5597" s="11" t="s">
        <v>1434</v>
      </c>
    </row>
    <row r="5598" spans="1:4" ht="30">
      <c r="A5598" s="5" t="str">
        <f>HYPERLINK("https://www.oit.va.gov/Services/TRM/ToolPage.aspx?tid=13230^","Clean-Trace Luminometer LX25 Synchronization Manager")</f>
        <v>Clean-Trace Luminometer LX25 Synchronization Manager</v>
      </c>
      <c r="B5598" s="4" t="s">
        <v>5711</v>
      </c>
      <c r="C5598" s="8" t="s">
        <v>5</v>
      </c>
      <c r="D5598" s="11" t="s">
        <v>7653</v>
      </c>
    </row>
    <row r="5599" spans="1:4" ht="30">
      <c r="A5599" s="5" t="str">
        <f>HYPERLINK("https://www.oit.va.gov/Services/TRM/ToolPage.aspx?tid=6037^","Mail Accounting Software (MAS)")</f>
        <v>Mail Accounting Software (MAS)</v>
      </c>
      <c r="B5599" s="4" t="s">
        <v>8207</v>
      </c>
      <c r="C5599" s="8" t="s">
        <v>5</v>
      </c>
      <c r="D5599" s="11" t="s">
        <v>2156</v>
      </c>
    </row>
    <row r="5600" spans="1:4" ht="30">
      <c r="A5600" s="5" t="str">
        <f>HYPERLINK("https://www.oit.va.gov/Services/TRM/ToolPage.aspx?tid=16491^","suiteHeart")</f>
        <v>suiteHeart</v>
      </c>
      <c r="B5600" s="4" t="s">
        <v>1967</v>
      </c>
      <c r="C5600" s="8" t="s">
        <v>5</v>
      </c>
      <c r="D5600" s="11" t="s">
        <v>1968</v>
      </c>
    </row>
    <row r="5601" spans="1:4" ht="30">
      <c r="A5601" s="5" t="str">
        <f>HYPERLINK("https://www.oit.va.gov/Services/TRM/ToolPage.aspx?tid=5677^","Nero Burning ROM")</f>
        <v>Nero Burning ROM</v>
      </c>
      <c r="B5601" s="4" t="s">
        <v>4471</v>
      </c>
      <c r="C5601" s="8" t="s">
        <v>5</v>
      </c>
      <c r="D5601" s="11" t="s">
        <v>3118</v>
      </c>
    </row>
    <row r="5602" spans="1:4" ht="30">
      <c r="A5602" s="5" t="str">
        <f>HYPERLINK("https://www.oit.va.gov/Services/TRM/ToolPage.aspx?tid=14437^","BurnRights")</f>
        <v>BurnRights</v>
      </c>
      <c r="B5602" s="4" t="s">
        <v>4471</v>
      </c>
      <c r="C5602" s="8" t="s">
        <v>5</v>
      </c>
      <c r="D5602" s="11" t="s">
        <v>6366</v>
      </c>
    </row>
    <row r="5603" spans="1:4" ht="30">
      <c r="A5603" s="5" t="str">
        <f>HYPERLINK("https://www.oit.va.gov/Services/TRM/ToolPage.aspx?tid=10497^","Nero BackItUp")</f>
        <v>Nero BackItUp</v>
      </c>
      <c r="B5603" s="4" t="s">
        <v>4471</v>
      </c>
      <c r="C5603" s="8" t="s">
        <v>5</v>
      </c>
      <c r="D5603" s="11" t="s">
        <v>5023</v>
      </c>
    </row>
    <row r="5604" spans="1:4" ht="30">
      <c r="A5604" s="5" t="str">
        <f>HYPERLINK("https://www.oit.va.gov/Services/TRM/ToolPage.aspx?tid=10554^","Nero SoundTrax")</f>
        <v>Nero SoundTrax</v>
      </c>
      <c r="B5604" s="4" t="s">
        <v>4471</v>
      </c>
      <c r="C5604" s="8" t="s">
        <v>5</v>
      </c>
      <c r="D5604" s="11" t="s">
        <v>707</v>
      </c>
    </row>
    <row r="5605" spans="1:4" ht="30">
      <c r="A5605" s="5" t="str">
        <f>HYPERLINK("https://www.oit.va.gov/Services/TRM/ToolPage.aspx?tid=11490^","RescueAgent")</f>
        <v>RescueAgent</v>
      </c>
      <c r="B5605" s="4" t="s">
        <v>4471</v>
      </c>
      <c r="C5605" s="8" t="s">
        <v>5</v>
      </c>
      <c r="D5605" s="11" t="s">
        <v>7079</v>
      </c>
    </row>
    <row r="5606" spans="1:4" ht="30">
      <c r="A5606" s="5" t="str">
        <f>HYPERLINK("https://www.oit.va.gov/Services/TRM/ToolPage.aspx?tid=10526^","CoverDesigner")</f>
        <v>CoverDesigner</v>
      </c>
      <c r="B5606" s="4" t="s">
        <v>4471</v>
      </c>
      <c r="C5606" s="8" t="s">
        <v>5</v>
      </c>
      <c r="D5606" s="11" t="s">
        <v>6405</v>
      </c>
    </row>
    <row r="5607" spans="1:4" ht="30">
      <c r="A5607" s="5" t="str">
        <f>HYPERLINK("https://www.oit.va.gov/Services/TRM/ToolPage.aspx?tid=10915^","MediaHome")</f>
        <v>MediaHome</v>
      </c>
      <c r="B5607" s="4" t="s">
        <v>4471</v>
      </c>
      <c r="C5607" s="8" t="s">
        <v>5</v>
      </c>
      <c r="D5607" s="11" t="s">
        <v>8234</v>
      </c>
    </row>
    <row r="5608" spans="1:4" ht="30">
      <c r="A5608" s="5" t="str">
        <f>HYPERLINK("https://www.oit.va.gov/Services/TRM/ToolPage.aspx?tid=10952^","Nero DiscSpeed")</f>
        <v>Nero DiscSpeed</v>
      </c>
      <c r="B5608" s="4" t="s">
        <v>4471</v>
      </c>
      <c r="C5608" s="8" t="s">
        <v>5</v>
      </c>
      <c r="D5608" s="11" t="s">
        <v>5443</v>
      </c>
    </row>
    <row r="5609" spans="1:4" ht="30">
      <c r="A5609" s="5" t="str">
        <f>HYPERLINK("https://www.oit.va.gov/Services/TRM/ToolPage.aspx?tid=10389^","Nero InfoTool")</f>
        <v>Nero InfoTool</v>
      </c>
      <c r="B5609" s="4" t="s">
        <v>4471</v>
      </c>
      <c r="C5609" s="8" t="s">
        <v>5</v>
      </c>
      <c r="D5609" s="11" t="s">
        <v>8314</v>
      </c>
    </row>
    <row r="5610" spans="1:4" ht="30">
      <c r="A5610" s="5" t="str">
        <f>HYPERLINK("https://www.oit.va.gov/Services/TRM/ToolPage.aspx?tid=10449^","Nero StartSmart")</f>
        <v>Nero StartSmart</v>
      </c>
      <c r="B5610" s="4" t="s">
        <v>4471</v>
      </c>
      <c r="C5610" s="8" t="s">
        <v>5</v>
      </c>
      <c r="D5610" s="11" t="s">
        <v>6322</v>
      </c>
    </row>
    <row r="5611" spans="1:4" ht="30">
      <c r="A5611" s="5" t="str">
        <f>HYPERLINK("https://www.oit.va.gov/Services/TRM/ToolPage.aspx?tid=11088^","Nero Video")</f>
        <v>Nero Video</v>
      </c>
      <c r="B5611" s="4" t="s">
        <v>4471</v>
      </c>
      <c r="C5611" s="8" t="s">
        <v>5</v>
      </c>
      <c r="D5611" s="11" t="s">
        <v>2284</v>
      </c>
    </row>
    <row r="5612" spans="1:4" ht="30">
      <c r="A5612" s="5" t="str">
        <f>HYPERLINK("https://www.oit.va.gov/Services/TRM/ToolPage.aspx?tid=10390^","Nero Wave Editor")</f>
        <v>Nero Wave Editor</v>
      </c>
      <c r="B5612" s="4" t="s">
        <v>4471</v>
      </c>
      <c r="C5612" s="8" t="s">
        <v>5</v>
      </c>
      <c r="D5612" s="11" t="s">
        <v>8315</v>
      </c>
    </row>
    <row r="5613" spans="1:4" ht="30">
      <c r="A5613" s="5" t="str">
        <f>HYPERLINK("https://www.oit.va.gov/Services/TRM/ToolPage.aspx?tid=11002^","Photosnap")</f>
        <v>Photosnap</v>
      </c>
      <c r="B5613" s="4" t="s">
        <v>4471</v>
      </c>
      <c r="C5613" s="8" t="s">
        <v>5</v>
      </c>
      <c r="D5613" s="11" t="s">
        <v>7272</v>
      </c>
    </row>
    <row r="5614" spans="1:4" ht="30">
      <c r="A5614" s="5" t="str">
        <f>HYPERLINK("https://www.oit.va.gov/Services/TRM/ToolPage.aspx?tid=10500^","Recode")</f>
        <v>Recode</v>
      </c>
      <c r="B5614" s="4" t="s">
        <v>4471</v>
      </c>
      <c r="C5614" s="8" t="s">
        <v>5</v>
      </c>
      <c r="D5614" s="11" t="s">
        <v>8542</v>
      </c>
    </row>
    <row r="5615" spans="1:4" ht="30">
      <c r="A5615" s="5" t="str">
        <f>HYPERLINK("https://www.oit.va.gov/Services/TRM/ToolPage.aspx?tid=15898^","INSIGHT Location Intelligence Platform")</f>
        <v>INSIGHT Location Intelligence Platform</v>
      </c>
      <c r="B5615" s="4" t="s">
        <v>223</v>
      </c>
      <c r="C5615" s="8" t="s">
        <v>5</v>
      </c>
      <c r="D5615" s="11" t="s">
        <v>224</v>
      </c>
    </row>
    <row r="5616" spans="1:4" ht="30">
      <c r="A5616" s="5" t="str">
        <f>HYPERLINK("https://www.oit.va.gov/Services/TRM/ToolPage.aspx?tid=14734^","TimeLeft")</f>
        <v>TimeLeft</v>
      </c>
      <c r="B5616" s="4" t="s">
        <v>8808</v>
      </c>
      <c r="C5616" s="8" t="s">
        <v>5</v>
      </c>
      <c r="D5616" s="11" t="s">
        <v>7958</v>
      </c>
    </row>
    <row r="5617" spans="1:4" ht="30">
      <c r="A5617" s="5" t="str">
        <f>HYPERLINK("https://www.oit.va.gov/Services/TRM/ToolPage.aspx?tid=13314^","Net Health Employee Health and Occupational Medicine")</f>
        <v>Net Health Employee Health and Occupational Medicine</v>
      </c>
      <c r="B5617" s="4" t="s">
        <v>4475</v>
      </c>
      <c r="C5617" s="8" t="s">
        <v>5</v>
      </c>
      <c r="D5617" s="11" t="s">
        <v>4476</v>
      </c>
    </row>
    <row r="5618" spans="1:4" ht="30">
      <c r="A5618" s="5" t="str">
        <f>HYPERLINK("https://www.oit.va.gov/Services/TRM/ToolPage.aspx?tid=11740^","Common.Logging Nuget Package")</f>
        <v>Common.Logging Nuget Package</v>
      </c>
      <c r="B5618" s="4" t="s">
        <v>381</v>
      </c>
      <c r="C5618" s="8" t="s">
        <v>5</v>
      </c>
      <c r="D5618" s="11" t="s">
        <v>382</v>
      </c>
    </row>
    <row r="5619" spans="1:4" ht="30">
      <c r="A5619" s="5" t="str">
        <f>HYPERLINK("https://www.oit.va.gov/Services/TRM/ToolPage.aspx?tid=7496^","AirMagnet Spectrum XT")</f>
        <v>AirMagnet Spectrum XT</v>
      </c>
      <c r="B5619" s="4" t="s">
        <v>5045</v>
      </c>
      <c r="C5619" s="8" t="s">
        <v>5</v>
      </c>
      <c r="D5619" s="11" t="s">
        <v>3458</v>
      </c>
    </row>
    <row r="5620" spans="1:4" ht="30">
      <c r="A5620" s="5" t="str">
        <f>HYPERLINK("https://www.oit.va.gov/Services/TRM/ToolPage.aspx?tid=7497^","AirMagnet Survey")</f>
        <v>AirMagnet Survey</v>
      </c>
      <c r="B5620" s="4" t="s">
        <v>5045</v>
      </c>
      <c r="C5620" s="8" t="s">
        <v>5</v>
      </c>
      <c r="D5620" s="11" t="s">
        <v>3078</v>
      </c>
    </row>
    <row r="5621" spans="1:4" ht="30">
      <c r="A5621" s="5" t="str">
        <f>HYPERLINK("https://www.oit.va.gov/Services/TRM/ToolPage.aspx?tid=13239^","Methasoft Treatment Management System")</f>
        <v>Methasoft Treatment Management System</v>
      </c>
      <c r="B5621" s="4" t="s">
        <v>2762</v>
      </c>
      <c r="C5621" s="8" t="s">
        <v>5</v>
      </c>
      <c r="D5621" s="11" t="s">
        <v>2763</v>
      </c>
    </row>
    <row r="5622" spans="1:4" ht="30">
      <c r="A5622" s="5" t="str">
        <f>HYPERLINK("https://www.oit.va.gov/Services/TRM/ToolPage.aspx?tid=11324^","Netaphor SiteAudit")</f>
        <v>Netaphor SiteAudit</v>
      </c>
      <c r="B5622" s="4" t="s">
        <v>98</v>
      </c>
      <c r="C5622" s="8" t="s">
        <v>5</v>
      </c>
      <c r="D5622" s="11" t="s">
        <v>99</v>
      </c>
    </row>
    <row r="5623" spans="1:4" ht="30">
      <c r="A5623" s="5" t="str">
        <f>HYPERLINK("https://www.oit.va.gov/Services/TRM/ToolPage.aspx?tid=9770^","NetApp OnCommand Insight")</f>
        <v>NetApp OnCommand Insight</v>
      </c>
      <c r="B5623" s="4" t="s">
        <v>778</v>
      </c>
      <c r="C5623" s="8" t="s">
        <v>5</v>
      </c>
      <c r="D5623" s="11" t="s">
        <v>779</v>
      </c>
    </row>
    <row r="5624" spans="1:4" ht="30">
      <c r="A5624" s="5" t="str">
        <f>HYPERLINK("https://www.oit.va.gov/Services/TRM/ToolPage.aspx?tid=16770^","NetApp SnapCenter")</f>
        <v>NetApp SnapCenter</v>
      </c>
      <c r="B5624" s="4" t="s">
        <v>778</v>
      </c>
      <c r="C5624" s="8" t="s">
        <v>5</v>
      </c>
      <c r="D5624" s="11" t="s">
        <v>780</v>
      </c>
    </row>
    <row r="5625" spans="1:4" ht="30">
      <c r="A5625" s="5" t="str">
        <f>HYPERLINK("https://www.oit.va.gov/Services/TRM/ToolPage.aspx?tid=10113^","NetApp StorageGRID")</f>
        <v>NetApp StorageGRID</v>
      </c>
      <c r="B5625" s="4" t="s">
        <v>778</v>
      </c>
      <c r="C5625" s="8" t="s">
        <v>5</v>
      </c>
      <c r="D5625" s="11" t="s">
        <v>781</v>
      </c>
    </row>
    <row r="5626" spans="1:4" ht="30">
      <c r="A5626" s="5" t="str">
        <f>HYPERLINK("https://www.oit.va.gov/Services/TRM/ToolPage.aspx?tid=9975^","SANtricity Storage Manager")</f>
        <v>SANtricity Storage Manager</v>
      </c>
      <c r="B5626" s="4" t="s">
        <v>778</v>
      </c>
      <c r="C5626" s="8" t="s">
        <v>5</v>
      </c>
      <c r="D5626" s="11" t="s">
        <v>839</v>
      </c>
    </row>
    <row r="5627" spans="1:4" ht="30">
      <c r="A5627" s="5" t="str">
        <f>HYPERLINK("https://www.oit.va.gov/Services/TRM/ToolPage.aspx?tid=8533^","OnCommand Workflow Automation (WFA)")</f>
        <v>OnCommand Workflow Automation (WFA)</v>
      </c>
      <c r="B5627" s="4" t="s">
        <v>778</v>
      </c>
      <c r="C5627" s="8" t="s">
        <v>5</v>
      </c>
      <c r="D5627" s="11" t="s">
        <v>1794</v>
      </c>
    </row>
    <row r="5628" spans="1:4" ht="30">
      <c r="A5628" s="5" t="str">
        <f>HYPERLINK("https://www.oit.va.gov/Services/TRM/ToolPage.aspx?tid=8532^","Active IQ Unified Manager")</f>
        <v>Active IQ Unified Manager</v>
      </c>
      <c r="B5628" s="4" t="s">
        <v>778</v>
      </c>
      <c r="C5628" s="8" t="s">
        <v>5</v>
      </c>
      <c r="D5628" s="11" t="s">
        <v>606</v>
      </c>
    </row>
    <row r="5629" spans="1:4" ht="30">
      <c r="A5629" s="5" t="str">
        <f>HYPERLINK("https://www.oit.va.gov/Services/TRM/ToolPage.aspx?tid=14821^","NetApp Windows Unified Host Utilities")</f>
        <v>NetApp Windows Unified Host Utilities</v>
      </c>
      <c r="B5629" s="4" t="s">
        <v>778</v>
      </c>
      <c r="C5629" s="8" t="s">
        <v>5</v>
      </c>
      <c r="D5629" s="11" t="s">
        <v>2795</v>
      </c>
    </row>
    <row r="5630" spans="1:4" ht="30">
      <c r="A5630" s="5" t="str">
        <f>HYPERLINK("https://www.oit.va.gov/Services/TRM/ToolPage.aspx?tid=6069^","NetApp OnCommand System Manager")</f>
        <v>NetApp OnCommand System Manager</v>
      </c>
      <c r="B5630" s="4" t="s">
        <v>778</v>
      </c>
      <c r="C5630" s="8" t="s">
        <v>5</v>
      </c>
      <c r="D5630" s="11" t="s">
        <v>3408</v>
      </c>
    </row>
    <row r="5631" spans="1:4" ht="30">
      <c r="A5631" s="5" t="str">
        <f>HYPERLINK("https://www.oit.va.gov/Services/TRM/ToolPage.aspx?tid=14885^","Active IQ Config Advisor")</f>
        <v>Active IQ Config Advisor</v>
      </c>
      <c r="B5631" s="4" t="s">
        <v>778</v>
      </c>
      <c r="C5631" s="8" t="s">
        <v>5</v>
      </c>
      <c r="D5631" s="11" t="s">
        <v>3701</v>
      </c>
    </row>
    <row r="5632" spans="1:4" ht="30">
      <c r="A5632" s="5" t="str">
        <f>HYPERLINK("https://www.oit.va.gov/Services/TRM/ToolPage.aspx?tid=15015^","NetApp ONTAP Tools for VMware vSphere")</f>
        <v>NetApp ONTAP Tools for VMware vSphere</v>
      </c>
      <c r="B5632" s="4" t="s">
        <v>778</v>
      </c>
      <c r="C5632" s="8" t="s">
        <v>5</v>
      </c>
      <c r="D5632" s="11" t="s">
        <v>4477</v>
      </c>
    </row>
    <row r="5633" spans="1:4" ht="30">
      <c r="A5633" s="5" t="str">
        <f>HYPERLINK("https://www.oit.va.gov/Services/TRM/ToolPage.aspx?tid=14890^","Hewlett Packard Unix (HP-UX) Host Utilities")</f>
        <v>Hewlett Packard Unix (HP-UX) Host Utilities</v>
      </c>
      <c r="B5633" s="4" t="s">
        <v>778</v>
      </c>
      <c r="C5633" s="8" t="s">
        <v>5</v>
      </c>
      <c r="D5633" s="11" t="s">
        <v>1601</v>
      </c>
    </row>
    <row r="5634" spans="1:4" ht="30">
      <c r="A5634" s="5" t="str">
        <f>HYPERLINK("https://www.oit.va.gov/Services/TRM/ToolPage.aspx?tid=14810^","Linux Unified Host Utilities")</f>
        <v>Linux Unified Host Utilities</v>
      </c>
      <c r="B5634" s="4" t="s">
        <v>778</v>
      </c>
      <c r="C5634" s="8" t="s">
        <v>5</v>
      </c>
      <c r="D5634" s="11" t="s">
        <v>3364</v>
      </c>
    </row>
    <row r="5635" spans="1:4" ht="30">
      <c r="A5635" s="5" t="str">
        <f>HYPERLINK("https://www.oit.va.gov/Services/TRM/ToolPage.aspx?tid=14292^","Service Level Manager")</f>
        <v>Service Level Manager</v>
      </c>
      <c r="B5635" s="4" t="s">
        <v>778</v>
      </c>
      <c r="C5635" s="8" t="s">
        <v>5</v>
      </c>
      <c r="D5635" s="11" t="s">
        <v>6063</v>
      </c>
    </row>
    <row r="5636" spans="1:4" ht="30">
      <c r="A5636" s="5" t="str">
        <f>HYPERLINK("https://www.oit.va.gov/Services/TRM/ToolPage.aspx?tid=14906^","AIX Host Utilities")</f>
        <v>AIX Host Utilities</v>
      </c>
      <c r="B5636" s="4" t="s">
        <v>778</v>
      </c>
      <c r="C5636" s="8" t="s">
        <v>5</v>
      </c>
      <c r="D5636" s="11" t="s">
        <v>4921</v>
      </c>
    </row>
    <row r="5637" spans="1:4" ht="30">
      <c r="A5637" s="5" t="str">
        <f>HYPERLINK("https://www.oit.va.gov/Services/TRM/ToolPage.aspx?tid=14809^","Data ONTAP Device-Specific Module (DSM) for Windows Multi-Path Input/output (MPIO)")</f>
        <v>Data ONTAP Device-Specific Module (DSM) for Windows Multi-Path Input/output (MPIO)</v>
      </c>
      <c r="B5637" s="4" t="s">
        <v>778</v>
      </c>
      <c r="C5637" s="8" t="s">
        <v>5</v>
      </c>
      <c r="D5637" s="11" t="s">
        <v>6479</v>
      </c>
    </row>
    <row r="5638" spans="1:4" ht="30">
      <c r="A5638" s="5" t="str">
        <f>HYPERLINK("https://www.oit.va.gov/Services/TRM/ToolPage.aspx?tid=13156^","NetApp XCP")</f>
        <v>NetApp XCP</v>
      </c>
      <c r="B5638" s="4" t="s">
        <v>778</v>
      </c>
      <c r="C5638" s="8" t="s">
        <v>5</v>
      </c>
      <c r="D5638" s="11" t="s">
        <v>6917</v>
      </c>
    </row>
    <row r="5639" spans="1:4" ht="30">
      <c r="A5639" s="5" t="str">
        <f>HYPERLINK("https://www.oit.va.gov/Services/TRM/ToolPage.aspx?tid=8531^","OnCommand Performance Manager")</f>
        <v>OnCommand Performance Manager</v>
      </c>
      <c r="B5639" s="4" t="s">
        <v>778</v>
      </c>
      <c r="C5639" s="8" t="s">
        <v>5</v>
      </c>
      <c r="D5639" s="11" t="s">
        <v>6300</v>
      </c>
    </row>
    <row r="5640" spans="1:4" ht="30">
      <c r="A5640" s="5" t="str">
        <f>HYPERLINK("https://www.oit.va.gov/Services/TRM/ToolPage.aspx?tid=6530^","NetApp SnapDrive")</f>
        <v>NetApp SnapDrive</v>
      </c>
      <c r="B5640" s="4" t="s">
        <v>778</v>
      </c>
      <c r="C5640" s="8" t="s">
        <v>5</v>
      </c>
      <c r="D5640" s="11" t="s">
        <v>2163</v>
      </c>
    </row>
    <row r="5641" spans="1:4" ht="30">
      <c r="A5641" s="5" t="str">
        <f>HYPERLINK("https://www.oit.va.gov/Services/TRM/ToolPage.aspx?tid=14892^","Solaris Host Utilities")</f>
        <v>Solaris Host Utilities</v>
      </c>
      <c r="B5641" s="4" t="s">
        <v>778</v>
      </c>
      <c r="C5641" s="8" t="s">
        <v>5</v>
      </c>
      <c r="D5641" s="11" t="s">
        <v>2928</v>
      </c>
    </row>
    <row r="5642" spans="1:4" ht="30">
      <c r="A5642" s="5" t="str">
        <f>HYPERLINK("https://www.oit.va.gov/Services/TRM/ToolPage.aspx?tid=16778^","NetBox Internet Protocol Access Managment (IPAM) Enterprise")</f>
        <v>NetBox Internet Protocol Access Managment (IPAM) Enterprise</v>
      </c>
      <c r="B5642" s="4" t="s">
        <v>2285</v>
      </c>
      <c r="C5642" s="8" t="s">
        <v>5</v>
      </c>
      <c r="D5642" s="11" t="s">
        <v>2286</v>
      </c>
    </row>
    <row r="5643" spans="1:4" ht="30">
      <c r="A5643" s="5" t="str">
        <f>HYPERLINK("https://www.oit.va.gov/Services/TRM/ToolPage.aspx?tid=7704^","NetBrain")</f>
        <v>NetBrain</v>
      </c>
      <c r="B5643" s="4" t="s">
        <v>4479</v>
      </c>
      <c r="C5643" s="8" t="s">
        <v>5</v>
      </c>
      <c r="D5643" s="11" t="s">
        <v>4360</v>
      </c>
    </row>
    <row r="5644" spans="1:4" ht="30">
      <c r="A5644" s="5" t="str">
        <f>HYPERLINK("https://www.oit.va.gov/Services/TRM/ToolPage.aspx?tid=10555^","Netc Label System")</f>
        <v>Netc Label System</v>
      </c>
      <c r="B5644" s="4" t="s">
        <v>8320</v>
      </c>
      <c r="C5644" s="8" t="s">
        <v>5</v>
      </c>
      <c r="D5644" s="11" t="s">
        <v>1039</v>
      </c>
    </row>
    <row r="5645" spans="1:4" ht="30">
      <c r="A5645" s="5" t="str">
        <f>HYPERLINK("https://www.oit.va.gov/Services/TRM/ToolPage.aspx?tid=8416^","CommonLook PDF")</f>
        <v>CommonLook PDF</v>
      </c>
      <c r="B5645" s="4" t="s">
        <v>3953</v>
      </c>
      <c r="C5645" s="8" t="s">
        <v>5</v>
      </c>
      <c r="D5645" s="11" t="s">
        <v>3088</v>
      </c>
    </row>
    <row r="5646" spans="1:4" ht="30">
      <c r="A5646" s="5" t="str">
        <f>HYPERLINK("https://www.oit.va.gov/Services/TRM/ToolPage.aspx?tid=11617^","Zuul")</f>
        <v>Zuul</v>
      </c>
      <c r="B5646" s="4" t="s">
        <v>346</v>
      </c>
      <c r="C5646" s="8" t="s">
        <v>5</v>
      </c>
      <c r="D5646" s="11" t="s">
        <v>347</v>
      </c>
    </row>
    <row r="5647" spans="1:4" ht="30">
      <c r="A5647" s="5" t="str">
        <f>HYPERLINK("https://www.oit.va.gov/Services/TRM/ToolPage.aspx?tid=11618^","Hystrix")</f>
        <v>Hystrix</v>
      </c>
      <c r="B5647" s="4" t="s">
        <v>346</v>
      </c>
      <c r="C5647" s="8" t="s">
        <v>5</v>
      </c>
      <c r="D5647" s="11" t="s">
        <v>421</v>
      </c>
    </row>
    <row r="5648" spans="1:4" ht="30">
      <c r="A5648" s="5" t="str">
        <f>HYPERLINK("https://www.oit.va.gov/Services/TRM/ToolPage.aspx?tid=11615^","Ribbon")</f>
        <v>Ribbon</v>
      </c>
      <c r="B5648" s="4" t="s">
        <v>346</v>
      </c>
      <c r="C5648" s="8" t="s">
        <v>5</v>
      </c>
      <c r="D5648" s="11" t="s">
        <v>533</v>
      </c>
    </row>
    <row r="5649" spans="1:4" ht="30">
      <c r="A5649" s="5" t="str">
        <f>HYPERLINK("https://www.oit.va.gov/Services/TRM/ToolPage.aspx?tid=11616^","Turbine")</f>
        <v>Turbine</v>
      </c>
      <c r="B5649" s="4" t="s">
        <v>346</v>
      </c>
      <c r="C5649" s="8" t="s">
        <v>5</v>
      </c>
      <c r="D5649" s="11" t="s">
        <v>2009</v>
      </c>
    </row>
    <row r="5650" spans="1:4" ht="30">
      <c r="A5650" s="5" t="str">
        <f>HYPERLINK("https://www.oit.va.gov/Services/TRM/ToolPage.aspx?tid=11555^","Chaos Monkey")</f>
        <v>Chaos Monkey</v>
      </c>
      <c r="B5650" s="4" t="s">
        <v>346</v>
      </c>
      <c r="C5650" s="8" t="s">
        <v>5</v>
      </c>
      <c r="D5650" s="11" t="s">
        <v>1415</v>
      </c>
    </row>
    <row r="5651" spans="1:4" ht="30">
      <c r="A5651" s="5" t="str">
        <f>HYPERLINK("https://www.oit.va.gov/Services/TRM/ToolPage.aspx?tid=12855^","Spinnaker")</f>
        <v>Spinnaker</v>
      </c>
      <c r="B5651" s="4" t="s">
        <v>346</v>
      </c>
      <c r="C5651" s="8" t="s">
        <v>5</v>
      </c>
      <c r="D5651" s="11" t="s">
        <v>2315</v>
      </c>
    </row>
    <row r="5652" spans="1:4" ht="30">
      <c r="A5652" s="5" t="str">
        <f>HYPERLINK("https://www.oit.va.gov/Services/TRM/ToolPage.aspx?tid=11619^","Eureka")</f>
        <v>Eureka</v>
      </c>
      <c r="B5652" s="4" t="s">
        <v>346</v>
      </c>
      <c r="C5652" s="8" t="s">
        <v>5</v>
      </c>
      <c r="D5652" s="11" t="s">
        <v>3283</v>
      </c>
    </row>
    <row r="5653" spans="1:4" ht="30">
      <c r="A5653" s="5" t="str">
        <f>HYPERLINK("https://www.oit.va.gov/Services/TRM/ToolPage.aspx?tid=11111^","Netgear Ready Network Attached Storage (NAS) Remote")</f>
        <v>Netgear Ready Network Attached Storage (NAS) Remote</v>
      </c>
      <c r="B5653" s="4" t="s">
        <v>8323</v>
      </c>
      <c r="C5653" s="8" t="s">
        <v>5</v>
      </c>
      <c r="D5653" s="11" t="s">
        <v>3359</v>
      </c>
    </row>
    <row r="5654" spans="1:4" ht="30">
      <c r="A5654" s="5" t="str">
        <f>HYPERLINK("https://www.oit.va.gov/Services/TRM/ToolPage.aspx?tid=7976^","NETGEAR Smart Control Center (SCC)")</f>
        <v>NETGEAR Smart Control Center (SCC)</v>
      </c>
      <c r="B5654" s="4" t="s">
        <v>8323</v>
      </c>
      <c r="C5654" s="8" t="s">
        <v>5</v>
      </c>
      <c r="D5654" s="11" t="s">
        <v>8324</v>
      </c>
    </row>
    <row r="5655" spans="1:4" ht="30">
      <c r="A5655" s="5" t="str">
        <f>HYPERLINK("https://www.oit.va.gov/Services/TRM/ToolPage.aspx?tid=10954^","Directory and Resource Administrator (DRA)")</f>
        <v>Directory and Resource Administrator (DRA)</v>
      </c>
      <c r="B5655" s="4" t="s">
        <v>5144</v>
      </c>
      <c r="C5655" s="8" t="s">
        <v>5</v>
      </c>
      <c r="D5655" s="11" t="s">
        <v>5145</v>
      </c>
    </row>
    <row r="5656" spans="1:4" ht="30">
      <c r="A5656" s="5" t="str">
        <f>HYPERLINK("https://www.oit.va.gov/Services/TRM/ToolPage.aspx?tid=7472^","Vivinet Assessor")</f>
        <v>Vivinet Assessor</v>
      </c>
      <c r="B5656" s="4" t="s">
        <v>5144</v>
      </c>
      <c r="C5656" s="8" t="s">
        <v>5</v>
      </c>
      <c r="D5656" s="11" t="s">
        <v>5583</v>
      </c>
    </row>
    <row r="5657" spans="1:4" ht="30">
      <c r="A5657" s="5" t="str">
        <f>HYPERLINK("https://www.oit.va.gov/Services/TRM/ToolPage.aspx?tid=11147^","Vision")</f>
        <v>Vision</v>
      </c>
      <c r="B5657" s="4" t="s">
        <v>7296</v>
      </c>
      <c r="C5657" s="8" t="s">
        <v>5</v>
      </c>
      <c r="D5657" s="11" t="s">
        <v>7297</v>
      </c>
    </row>
    <row r="5658" spans="1:4" ht="30">
      <c r="A5658" s="5" t="str">
        <f>HYPERLINK("https://www.oit.va.gov/Services/TRM/ToolPage.aspx?tid=15636^","NetScan Tools Secure Socket Layer (SSL) Certificate Scanner")</f>
        <v>NetScan Tools Secure Socket Layer (SSL) Certificate Scanner</v>
      </c>
      <c r="B5658" s="4" t="s">
        <v>8326</v>
      </c>
      <c r="C5658" s="8" t="s">
        <v>5</v>
      </c>
      <c r="D5658" s="11" t="s">
        <v>7803</v>
      </c>
    </row>
    <row r="5659" spans="1:4" ht="30">
      <c r="A5659" s="5" t="str">
        <f>HYPERLINK("https://www.oit.va.gov/Services/TRM/ToolPage.aspx?tid=8377^","Volume Snapshot Service (VSS) Management Center (vMC)")</f>
        <v>Volume Snapshot Service (VSS) Management Center (vMC)</v>
      </c>
      <c r="B5659" s="4" t="s">
        <v>5585</v>
      </c>
      <c r="C5659" s="8" t="s">
        <v>5</v>
      </c>
      <c r="D5659" s="11" t="s">
        <v>5586</v>
      </c>
    </row>
    <row r="5660" spans="1:4" ht="30">
      <c r="A5660" s="5" t="str">
        <f>HYPERLINK("https://www.oit.va.gov/Services/TRM/ToolPage.aspx?tid=7478^","nGeniusOne")</f>
        <v>nGeniusOne</v>
      </c>
      <c r="B5660" s="4" t="s">
        <v>5585</v>
      </c>
      <c r="C5660" s="8" t="s">
        <v>5</v>
      </c>
      <c r="D5660" s="11" t="s">
        <v>6936</v>
      </c>
    </row>
    <row r="5661" spans="1:4" ht="30">
      <c r="A5661" s="5" t="str">
        <f>HYPERLINK("https://www.oit.va.gov/Services/TRM/ToolPage.aspx?tid=11510^","Simple Storage Service (S3) Browser")</f>
        <v>Simple Storage Service (S3) Browser</v>
      </c>
      <c r="B5661" s="4" t="s">
        <v>1209</v>
      </c>
      <c r="C5661" s="8" t="s">
        <v>5</v>
      </c>
      <c r="D5661" s="11" t="s">
        <v>153</v>
      </c>
    </row>
    <row r="5662" spans="1:4" ht="30">
      <c r="A5662" s="5" t="str">
        <f>HYPERLINK("https://www.oit.va.gov/Services/TRM/ToolPage.aspx?tid=15854^","Netskope Client")</f>
        <v>Netskope Client</v>
      </c>
      <c r="B5662" s="4" t="s">
        <v>4481</v>
      </c>
      <c r="C5662" s="8" t="s">
        <v>5</v>
      </c>
      <c r="D5662" s="11" t="s">
        <v>4482</v>
      </c>
    </row>
    <row r="5663" spans="1:4" ht="30">
      <c r="A5663" s="5" t="str">
        <f>HYPERLINK("https://www.oit.va.gov/Services/TRM/ToolPage.aspx?tid=9071^","MyAvatar")</f>
        <v>MyAvatar</v>
      </c>
      <c r="B5663" s="4" t="s">
        <v>4465</v>
      </c>
      <c r="C5663" s="8" t="s">
        <v>5</v>
      </c>
      <c r="D5663" s="11" t="s">
        <v>4466</v>
      </c>
    </row>
    <row r="5664" spans="1:4" ht="30">
      <c r="A5664" s="5" t="str">
        <f>HYPERLINK("https://www.oit.va.gov/Services/TRM/ToolPage.aspx?tid=9307^","Netsmart VRS (Vital Records System)")</f>
        <v>Netsmart VRS (Vital Records System)</v>
      </c>
      <c r="B5664" s="4" t="s">
        <v>4465</v>
      </c>
      <c r="C5664" s="8" t="s">
        <v>5</v>
      </c>
      <c r="D5664" s="11" t="s">
        <v>2007</v>
      </c>
    </row>
    <row r="5665" spans="1:4" ht="30">
      <c r="A5665" s="5" t="str">
        <f>HYPERLINK("https://www.oit.va.gov/Services/TRM/ToolPage.aspx?tid=10993^","Net - Simple Network Management Protocol (SNMP)")</f>
        <v>Net - Simple Network Management Protocol (SNMP)</v>
      </c>
      <c r="B5665" s="4" t="s">
        <v>4473</v>
      </c>
      <c r="C5665" s="8" t="s">
        <v>5</v>
      </c>
      <c r="D5665" s="11" t="s">
        <v>4474</v>
      </c>
    </row>
    <row r="5666" spans="1:4" ht="30">
      <c r="A5666" s="5" t="str">
        <f>HYPERLINK("https://www.oit.va.gov/Services/TRM/ToolPage.aspx?tid=14094^","NetSpot")</f>
        <v>NetSpot</v>
      </c>
      <c r="B5666" s="4" t="s">
        <v>6920</v>
      </c>
      <c r="C5666" s="8" t="s">
        <v>5</v>
      </c>
      <c r="D5666" s="11" t="s">
        <v>6921</v>
      </c>
    </row>
    <row r="5667" spans="1:4" ht="30">
      <c r="A5667" s="5" t="str">
        <f>HYPERLINK("https://www.oit.va.gov/Services/TRM/ToolPage.aspx?tid=6075^","NetSupport DNA")</f>
        <v>NetSupport DNA</v>
      </c>
      <c r="B5667" s="4" t="s">
        <v>8327</v>
      </c>
      <c r="C5667" s="8" t="s">
        <v>5</v>
      </c>
      <c r="D5667" s="11" t="s">
        <v>8263</v>
      </c>
    </row>
    <row r="5668" spans="1:4" ht="30">
      <c r="A5668" s="5" t="str">
        <f>HYPERLINK("https://www.oit.va.gov/Services/TRM/ToolPage.aspx?tid=6076^","NetSupport Manager")</f>
        <v>NetSupport Manager</v>
      </c>
      <c r="B5668" s="4" t="s">
        <v>8327</v>
      </c>
      <c r="C5668" s="8" t="s">
        <v>5</v>
      </c>
      <c r="D5668" s="11" t="s">
        <v>7532</v>
      </c>
    </row>
    <row r="5669" spans="1:4" ht="30">
      <c r="A5669" s="5" t="str">
        <f>HYPERLINK("https://www.oit.va.gov/Services/TRM/ToolPage.aspx?tid=16228^","Network Canvas - Interviewer")</f>
        <v>Network Canvas - Interviewer</v>
      </c>
      <c r="B5669" s="4" t="s">
        <v>4485</v>
      </c>
      <c r="C5669" s="8" t="s">
        <v>5</v>
      </c>
      <c r="D5669" s="11" t="s">
        <v>4486</v>
      </c>
    </row>
    <row r="5670" spans="1:4" ht="30">
      <c r="A5670" s="5" t="str">
        <f>HYPERLINK("https://www.oit.va.gov/Services/TRM/ToolPage.aspx?tid=16230^","Network Canvas - Server")</f>
        <v>Network Canvas - Server</v>
      </c>
      <c r="B5670" s="4" t="s">
        <v>4485</v>
      </c>
      <c r="C5670" s="8" t="s">
        <v>5</v>
      </c>
      <c r="D5670" s="11" t="s">
        <v>627</v>
      </c>
    </row>
    <row r="5671" spans="1:4" ht="30">
      <c r="A5671" s="5" t="str">
        <f>HYPERLINK("https://www.oit.va.gov/Services/TRM/ToolPage.aspx?tid=16229^","Network Canvas - Architect")</f>
        <v>Network Canvas - Architect</v>
      </c>
      <c r="B5671" s="4" t="s">
        <v>4485</v>
      </c>
      <c r="C5671" s="8" t="s">
        <v>5</v>
      </c>
      <c r="D5671" s="11" t="s">
        <v>1669</v>
      </c>
    </row>
    <row r="5672" spans="1:4" ht="30">
      <c r="A5672" s="5" t="str">
        <f>HYPERLINK("https://www.oit.va.gov/Services/TRM/ToolPage.aspx?tid=10096^","Secure Network Executive (NetEx) Software for International Business Machines (IBM) z/OS")</f>
        <v>Secure Network Executive (NetEx) Software for International Business Machines (IBM) z/OS</v>
      </c>
      <c r="B5672" s="4" t="s">
        <v>108</v>
      </c>
      <c r="C5672" s="8" t="s">
        <v>5</v>
      </c>
      <c r="D5672" s="11" t="s">
        <v>109</v>
      </c>
    </row>
    <row r="5673" spans="1:4" ht="30">
      <c r="A5673" s="5" t="str">
        <f>HYPERLINK("https://www.oit.va.gov/Services/TRM/ToolPage.aspx?tid=10114^","Network Executive (NetEx) Software for Bull General Comprehensive Operating System (GCOS) 8")</f>
        <v>Network Executive (NetEx) Software for Bull General Comprehensive Operating System (GCOS) 8</v>
      </c>
      <c r="B5673" s="4" t="s">
        <v>108</v>
      </c>
      <c r="C5673" s="8" t="s">
        <v>5</v>
      </c>
      <c r="D5673" s="11" t="s">
        <v>234</v>
      </c>
    </row>
    <row r="5674" spans="1:4" ht="30">
      <c r="A5674" s="5" t="str">
        <f>HYPERLINK("https://www.oit.va.gov/Services/TRM/ToolPage.aspx?tid=13845^","Secure NetEx for Linux")</f>
        <v>Secure NetEx for Linux</v>
      </c>
      <c r="B5674" s="4" t="s">
        <v>108</v>
      </c>
      <c r="C5674" s="8" t="s">
        <v>5</v>
      </c>
      <c r="D5674" s="11" t="s">
        <v>539</v>
      </c>
    </row>
    <row r="5675" spans="1:4" ht="30">
      <c r="A5675" s="5" t="str">
        <f>HYPERLINK("https://www.oit.va.gov/Services/TRM/ToolPage.aspx?tid=13916^","NetworkActiv Advanced UDP/TCP Active Port Forwarder (AUTAPF)")</f>
        <v>NetworkActiv Advanced UDP/TCP Active Port Forwarder (AUTAPF)</v>
      </c>
      <c r="B5675" s="4" t="s">
        <v>108</v>
      </c>
      <c r="C5675" s="8" t="s">
        <v>5</v>
      </c>
      <c r="D5675" s="11" t="s">
        <v>1183</v>
      </c>
    </row>
    <row r="5676" spans="1:4" ht="30">
      <c r="A5676" s="5" t="str">
        <f>HYPERLINK("https://www.oit.va.gov/Services/TRM/ToolPage.aspx?tid=16362^","Netwrix Auditor")</f>
        <v>Netwrix Auditor</v>
      </c>
      <c r="B5676" s="4" t="s">
        <v>4487</v>
      </c>
      <c r="C5676" s="8" t="s">
        <v>5</v>
      </c>
      <c r="D5676" s="11" t="s">
        <v>1245</v>
      </c>
    </row>
    <row r="5677" spans="1:4" ht="30">
      <c r="A5677" s="5" t="str">
        <f>HYPERLINK("https://www.oit.va.gov/Services/TRM/ToolPage.aspx?tid=14246^","NetZoom Visio Stencils")</f>
        <v>NetZoom Visio Stencils</v>
      </c>
      <c r="B5677" s="4" t="s">
        <v>4488</v>
      </c>
      <c r="C5677" s="8" t="s">
        <v>5</v>
      </c>
      <c r="D5677" s="11" t="s">
        <v>4437</v>
      </c>
    </row>
    <row r="5678" spans="1:4" ht="30">
      <c r="A5678" s="5" t="str">
        <f>HYPERLINK("https://www.oit.va.gov/Services/TRM/ToolPage.aspx?tid=8541^","NetZoom Enterprise")</f>
        <v>NetZoom Enterprise</v>
      </c>
      <c r="B5678" s="4" t="s">
        <v>4488</v>
      </c>
      <c r="C5678" s="8" t="s">
        <v>5</v>
      </c>
      <c r="D5678" s="11" t="s">
        <v>3414</v>
      </c>
    </row>
    <row r="5679" spans="1:4" ht="30">
      <c r="A5679" s="5" t="str">
        <f>HYPERLINK("https://www.oit.va.gov/Services/TRM/ToolPage.aspx?tid=8780^","NeuLog Software")</f>
        <v>NeuLog Software</v>
      </c>
      <c r="B5679" s="4" t="s">
        <v>8330</v>
      </c>
      <c r="C5679" s="8" t="s">
        <v>5</v>
      </c>
      <c r="D5679" s="11" t="s">
        <v>5757</v>
      </c>
    </row>
    <row r="5680" spans="1:4" ht="30">
      <c r="A5680" s="5" t="str">
        <f>HYPERLINK("https://www.oit.va.gov/Services/TRM/ToolPage.aspx?tid=11394^","Smart Neural Action Potential (SNAP) Sorter")</f>
        <v>Smart Neural Action Potential (SNAP) Sorter</v>
      </c>
      <c r="B5680" s="4" t="s">
        <v>3533</v>
      </c>
      <c r="C5680" s="8" t="s">
        <v>5</v>
      </c>
      <c r="D5680" s="11" t="s">
        <v>3534</v>
      </c>
    </row>
    <row r="5681" spans="1:4" ht="30">
      <c r="A5681" s="5" t="str">
        <f>HYPERLINK("https://www.oit.va.gov/Services/TRM/ToolPage.aspx?tid=9723^","Immediate and Delayed Memory Task (IMT/DMT)")</f>
        <v>Immediate and Delayed Memory Task (IMT/DMT)</v>
      </c>
      <c r="B5681" s="4" t="s">
        <v>8067</v>
      </c>
      <c r="C5681" s="8" t="s">
        <v>5</v>
      </c>
      <c r="D5681" s="11" t="s">
        <v>8068</v>
      </c>
    </row>
    <row r="5682" spans="1:4" ht="30">
      <c r="A5682" s="5" t="str">
        <f>HYPERLINK("https://www.oit.va.gov/Services/TRM/ToolPage.aspx?tid=7403^","Neurobehavioral Systems Presentation")</f>
        <v>Neurobehavioral Systems Presentation</v>
      </c>
      <c r="B5682" s="4" t="s">
        <v>1061</v>
      </c>
      <c r="C5682" s="8" t="s">
        <v>5</v>
      </c>
      <c r="D5682" s="11" t="s">
        <v>1062</v>
      </c>
    </row>
    <row r="5683" spans="1:4" ht="30">
      <c r="A5683" s="5" t="str">
        <f>HYPERLINK("https://www.oit.va.gov/Services/TRM/ToolPage.aspx?tid=14317^","MRIcron")</f>
        <v>MRIcron</v>
      </c>
      <c r="B5683" s="4" t="s">
        <v>6893</v>
      </c>
      <c r="C5683" s="8" t="s">
        <v>5</v>
      </c>
      <c r="D5683" s="11" t="s">
        <v>2007</v>
      </c>
    </row>
    <row r="5684" spans="1:4" ht="30">
      <c r="A5684" s="5" t="str">
        <f>HYPERLINK("https://www.oit.va.gov/Services/TRM/ToolPage.aspx?tid=14363^","MRIcroGL")</f>
        <v>MRIcroGL</v>
      </c>
      <c r="B5684" s="4" t="s">
        <v>6893</v>
      </c>
      <c r="C5684" s="8" t="s">
        <v>5</v>
      </c>
      <c r="D5684" s="11" t="s">
        <v>1058</v>
      </c>
    </row>
    <row r="5685" spans="1:4" ht="30">
      <c r="A5685" s="5" t="str">
        <f>HYPERLINK("https://www.oit.va.gov/Services/TRM/ToolPage.aspx?tid=15968^","XNAT")</f>
        <v>XNAT</v>
      </c>
      <c r="B5685" s="4" t="s">
        <v>5008</v>
      </c>
      <c r="C5685" s="8" t="s">
        <v>5</v>
      </c>
      <c r="D5685" s="11" t="s">
        <v>1046</v>
      </c>
    </row>
    <row r="5686" spans="1:4" ht="30">
      <c r="A5686" s="5" t="str">
        <f>HYPERLINK("https://www.oit.va.gov/Services/TRM/ToolPage.aspx?tid=9908^","NeuroFit")</f>
        <v>NeuroFit</v>
      </c>
      <c r="B5686" s="4" t="s">
        <v>8332</v>
      </c>
      <c r="C5686" s="8" t="s">
        <v>5</v>
      </c>
      <c r="D5686" s="11" t="s">
        <v>3989</v>
      </c>
    </row>
    <row r="5687" spans="1:4" ht="30">
      <c r="A5687" s="5" t="str">
        <f>HYPERLINK("https://www.oit.va.gov/Services/TRM/ToolPage.aspx?tid=15179^","NeuroTrax Desktop")</f>
        <v>NeuroTrax Desktop</v>
      </c>
      <c r="B5687" s="4" t="s">
        <v>4490</v>
      </c>
      <c r="C5687" s="8" t="s">
        <v>5</v>
      </c>
      <c r="D5687" s="11" t="s">
        <v>4491</v>
      </c>
    </row>
    <row r="5688" spans="1:4" ht="30">
      <c r="A5688" s="5" t="str">
        <f>HYPERLINK("https://www.oit.va.gov/Services/TRM/ToolPage.aspx?tid=13231^","BWAnalysis")</f>
        <v>BWAnalysis</v>
      </c>
      <c r="B5688" s="4" t="s">
        <v>2428</v>
      </c>
      <c r="C5688" s="8" t="s">
        <v>5</v>
      </c>
      <c r="D5688" s="11" t="s">
        <v>2429</v>
      </c>
    </row>
    <row r="5689" spans="1:4" ht="30">
      <c r="A5689" s="5" t="str">
        <f>HYPERLINK("https://www.oit.va.gov/Services/TRM/ToolPage.aspx?tid=13227^","BWCenter")</f>
        <v>BWCenter</v>
      </c>
      <c r="B5689" s="4" t="s">
        <v>2428</v>
      </c>
      <c r="C5689" s="8" t="s">
        <v>5</v>
      </c>
      <c r="D5689" s="11" t="s">
        <v>2430</v>
      </c>
    </row>
    <row r="5690" spans="1:4" ht="30">
      <c r="A5690" s="5" t="str">
        <f>HYPERLINK("https://www.oit.va.gov/Services/TRM/ToolPage.aspx?tid=7701^","X Window System Remote Desktop Protocol (xRDP)")</f>
        <v>X Window System Remote Desktop Protocol (xRDP)</v>
      </c>
      <c r="B5690" s="4" t="s">
        <v>342</v>
      </c>
      <c r="C5690" s="8" t="s">
        <v>5</v>
      </c>
      <c r="D5690" s="11" t="s">
        <v>343</v>
      </c>
    </row>
    <row r="5691" spans="1:4" ht="30">
      <c r="A5691" s="5" t="str">
        <f>HYPERLINK("https://www.oit.va.gov/Services/TRM/ToolPage.aspx?tid=6365^","Neverfail Information Technology (IT) Continuity Engine")</f>
        <v>Neverfail Information Technology (IT) Continuity Engine</v>
      </c>
      <c r="B5691" s="4" t="s">
        <v>3410</v>
      </c>
      <c r="C5691" s="8" t="s">
        <v>5</v>
      </c>
      <c r="D5691" s="11" t="s">
        <v>3411</v>
      </c>
    </row>
    <row r="5692" spans="1:4" ht="30">
      <c r="A5692" s="5" t="str">
        <f>HYPERLINK("https://www.oit.va.gov/Services/TRM/ToolPage.aspx?tid=8875^","Reports Authoring Visual Environment (RAVE) Reports")</f>
        <v>Reports Authoring Visual Environment (RAVE) Reports</v>
      </c>
      <c r="B5692" s="4" t="s">
        <v>6038</v>
      </c>
      <c r="C5692" s="8" t="s">
        <v>5</v>
      </c>
      <c r="D5692" s="11" t="s">
        <v>6039</v>
      </c>
    </row>
    <row r="5693" spans="1:4" ht="30">
      <c r="A5693" s="5" t="str">
        <f>HYPERLINK("https://www.oit.va.gov/Services/TRM/ToolPage.aspx?tid=6274^","New Atlanta ServletExec")</f>
        <v>New Atlanta ServletExec</v>
      </c>
      <c r="B5693" s="4" t="s">
        <v>8333</v>
      </c>
      <c r="C5693" s="8" t="s">
        <v>5</v>
      </c>
      <c r="D5693" s="11" t="s">
        <v>1066</v>
      </c>
    </row>
    <row r="5694" spans="1:4" ht="30">
      <c r="A5694" s="5" t="str">
        <f>HYPERLINK("https://www.oit.va.gov/Services/TRM/ToolPage.aspx?tid=9703^","QuickDoc")</f>
        <v>QuickDoc</v>
      </c>
      <c r="B5694" s="4" t="s">
        <v>7060</v>
      </c>
      <c r="C5694" s="8" t="s">
        <v>5</v>
      </c>
      <c r="D5694" s="11" t="s">
        <v>2880</v>
      </c>
    </row>
    <row r="5695" spans="1:4" ht="30">
      <c r="A5695" s="5" t="str">
        <f>HYPERLINK("https://www.oit.va.gov/Services/TRM/ToolPage.aspx?tid=14284^","QuickDoc Portal (QDPortal)")</f>
        <v>QuickDoc Portal (QDPortal)</v>
      </c>
      <c r="B5695" s="4" t="s">
        <v>7060</v>
      </c>
      <c r="C5695" s="8" t="s">
        <v>5</v>
      </c>
      <c r="D5695" s="11" t="s">
        <v>2630</v>
      </c>
    </row>
    <row r="5696" spans="1:4" ht="30">
      <c r="A5696" s="5" t="str">
        <f>HYPERLINK("https://www.oit.va.gov/Services/TRM/ToolPage.aspx?tid=13018^","Panorama Tools Graphical User Interface (PTGui)")</f>
        <v>Panorama Tools Graphical User Interface (PTGui)</v>
      </c>
      <c r="B5696" s="4" t="s">
        <v>5989</v>
      </c>
      <c r="C5696" s="8" t="s">
        <v>5</v>
      </c>
      <c r="D5696" s="11" t="s">
        <v>5990</v>
      </c>
    </row>
    <row r="5697" spans="1:4" ht="30">
      <c r="A5697" s="5" t="str">
        <f>HYPERLINK("https://www.oit.va.gov/Services/TRM/ToolPage.aspx?tid=11676^","Application Performance Management (APM) Java Agent")</f>
        <v>Application Performance Management (APM) Java Agent</v>
      </c>
      <c r="B5697" s="4" t="s">
        <v>6292</v>
      </c>
      <c r="C5697" s="8" t="s">
        <v>5</v>
      </c>
      <c r="D5697" s="11" t="s">
        <v>6293</v>
      </c>
    </row>
    <row r="5698" spans="1:4" ht="30">
      <c r="A5698" s="5" t="str">
        <f>HYPERLINK("https://www.oit.va.gov/Services/TRM/ToolPage.aspx?tid=10663^","Optika Vision Pro Plus")</f>
        <v>Optika Vision Pro Plus</v>
      </c>
      <c r="B5698" s="4" t="s">
        <v>3435</v>
      </c>
      <c r="C5698" s="8" t="s">
        <v>5</v>
      </c>
      <c r="D5698" s="11" t="s">
        <v>3436</v>
      </c>
    </row>
    <row r="5699" spans="1:4" ht="30">
      <c r="A5699" s="5" t="str">
        <f>HYPERLINK("https://www.oit.va.gov/Services/TRM/ToolPage.aspx?tid=12816^","Pesticide Reporting Law (PRL) Reporting")</f>
        <v>Pesticide Reporting Law (PRL) Reporting</v>
      </c>
      <c r="B5699" s="4" t="s">
        <v>8424</v>
      </c>
      <c r="C5699" s="8" t="s">
        <v>5</v>
      </c>
      <c r="D5699" s="11" t="s">
        <v>8425</v>
      </c>
    </row>
    <row r="5700" spans="1:4" ht="30">
      <c r="A5700" s="5" t="str">
        <f>HYPERLINK("https://www.oit.va.gov/Services/TRM/ToolPage.aspx?tid=9863^","Universal Public Health Node (UPHN) Lite")</f>
        <v>Universal Public Health Node (UPHN) Lite</v>
      </c>
      <c r="B5700" s="4" t="s">
        <v>6134</v>
      </c>
      <c r="C5700" s="8" t="s">
        <v>5</v>
      </c>
      <c r="D5700" s="11" t="s">
        <v>1001</v>
      </c>
    </row>
    <row r="5701" spans="1:4" ht="30">
      <c r="A5701" s="5" t="str">
        <f>HYPERLINK("https://www.oit.va.gov/Services/TRM/ToolPage.aspx?tid=14410^","NewBlueFx Stylizers 5 Imagine")</f>
        <v>NewBlueFx Stylizers 5 Imagine</v>
      </c>
      <c r="B5701" s="4" t="s">
        <v>4492</v>
      </c>
      <c r="C5701" s="8" t="s">
        <v>5</v>
      </c>
      <c r="D5701" s="11" t="s">
        <v>4493</v>
      </c>
    </row>
    <row r="5702" spans="1:4" ht="30">
      <c r="A5702" s="5" t="str">
        <f>HYPERLINK("https://www.oit.va.gov/Services/TRM/ToolPage.aspx?tid=14412^","NewBlueFX Titler Pro 7")</f>
        <v>NewBlueFX Titler Pro 7</v>
      </c>
      <c r="B5702" s="4" t="s">
        <v>4492</v>
      </c>
      <c r="C5702" s="8" t="s">
        <v>5</v>
      </c>
      <c r="D5702" s="11" t="s">
        <v>4494</v>
      </c>
    </row>
    <row r="5703" spans="1:4" ht="30">
      <c r="A5703" s="5" t="str">
        <f>HYPERLINK("https://www.oit.va.gov/Services/TRM/ToolPage.aspx?tid=14423^","NewBlueFX Transitions 5 Glow")</f>
        <v>NewBlueFX Transitions 5 Glow</v>
      </c>
      <c r="B5703" s="4" t="s">
        <v>4492</v>
      </c>
      <c r="C5703" s="8" t="s">
        <v>5</v>
      </c>
      <c r="D5703" s="11" t="s">
        <v>4493</v>
      </c>
    </row>
    <row r="5704" spans="1:4" ht="30">
      <c r="A5704" s="5" t="str">
        <f>HYPERLINK("https://www.oit.va.gov/Services/TRM/ToolPage.aspx?tid=14396^","NewBlueFX Cartoonr Plus")</f>
        <v>NewBlueFX Cartoonr Plus</v>
      </c>
      <c r="B5704" s="4" t="s">
        <v>4492</v>
      </c>
      <c r="C5704" s="8" t="s">
        <v>5</v>
      </c>
      <c r="D5704" s="11" t="s">
        <v>1616</v>
      </c>
    </row>
    <row r="5705" spans="1:4" ht="30">
      <c r="A5705" s="5" t="str">
        <f>HYPERLINK("https://www.oit.va.gov/Services/TRM/ToolPage.aspx?tid=14380^","NewBlueFx Elements 3 Alpha Blend")</f>
        <v>NewBlueFx Elements 3 Alpha Blend</v>
      </c>
      <c r="B5705" s="4" t="s">
        <v>4492</v>
      </c>
      <c r="C5705" s="8" t="s">
        <v>5</v>
      </c>
      <c r="D5705" s="11" t="s">
        <v>6924</v>
      </c>
    </row>
    <row r="5706" spans="1:4" ht="30">
      <c r="A5706" s="5" t="str">
        <f>HYPERLINK("https://www.oit.va.gov/Services/TRM/ToolPage.aspx?tid=14397^","NewBlueFx Elements 3 Chroma Key Pro")</f>
        <v>NewBlueFx Elements 3 Chroma Key Pro</v>
      </c>
      <c r="B5706" s="4" t="s">
        <v>4492</v>
      </c>
      <c r="C5706" s="8" t="s">
        <v>5</v>
      </c>
      <c r="D5706" s="11" t="s">
        <v>6924</v>
      </c>
    </row>
    <row r="5707" spans="1:4" ht="30">
      <c r="A5707" s="5" t="str">
        <f>HYPERLINK("https://www.oit.va.gov/Services/TRM/ToolPage.aspx?tid=14398^","NewBlueFx Elements 3 Energize")</f>
        <v>NewBlueFx Elements 3 Energize</v>
      </c>
      <c r="B5707" s="4" t="s">
        <v>4492</v>
      </c>
      <c r="C5707" s="8" t="s">
        <v>5</v>
      </c>
      <c r="D5707" s="11" t="s">
        <v>6925</v>
      </c>
    </row>
    <row r="5708" spans="1:4" ht="30">
      <c r="A5708" s="5" t="str">
        <f>HYPERLINK("https://www.oit.va.gov/Services/TRM/ToolPage.aspx?tid=14400^","NewBlueFx Elements 3 Overlay")</f>
        <v>NewBlueFx Elements 3 Overlay</v>
      </c>
      <c r="B5708" s="4" t="s">
        <v>4492</v>
      </c>
      <c r="C5708" s="8" t="s">
        <v>5</v>
      </c>
      <c r="D5708" s="11" t="s">
        <v>6925</v>
      </c>
    </row>
    <row r="5709" spans="1:4" ht="30">
      <c r="A5709" s="5" t="str">
        <f>HYPERLINK("https://www.oit.va.gov/Services/TRM/ToolPage.aspx?tid=14399^","NewBlueFx Essentials 5 Stabilizer")</f>
        <v>NewBlueFx Essentials 5 Stabilizer</v>
      </c>
      <c r="B5709" s="4" t="s">
        <v>4492</v>
      </c>
      <c r="C5709" s="8" t="s">
        <v>5</v>
      </c>
      <c r="D5709" s="11" t="s">
        <v>6926</v>
      </c>
    </row>
    <row r="5710" spans="1:4" ht="30">
      <c r="A5710" s="5" t="str">
        <f>HYPERLINK("https://www.oit.va.gov/Services/TRM/ToolPage.aspx?tid=14401^","NewBlueFx Essentials 5 Volume 1")</f>
        <v>NewBlueFx Essentials 5 Volume 1</v>
      </c>
      <c r="B5710" s="4" t="s">
        <v>4492</v>
      </c>
      <c r="C5710" s="8" t="s">
        <v>5</v>
      </c>
      <c r="D5710" s="11" t="s">
        <v>6926</v>
      </c>
    </row>
    <row r="5711" spans="1:4" ht="30">
      <c r="A5711" s="5" t="str">
        <f>HYPERLINK("https://www.oit.va.gov/Services/TRM/ToolPage.aspx?tid=14403^","NewBlueFx Essentials 5 Volume 2")</f>
        <v>NewBlueFx Essentials 5 Volume 2</v>
      </c>
      <c r="B5711" s="4" t="s">
        <v>4492</v>
      </c>
      <c r="C5711" s="8" t="s">
        <v>5</v>
      </c>
      <c r="D5711" s="11" t="s">
        <v>6927</v>
      </c>
    </row>
    <row r="5712" spans="1:4" ht="30">
      <c r="A5712" s="5" t="str">
        <f>HYPERLINK("https://www.oit.va.gov/Services/TRM/ToolPage.aspx?tid=14402^","NewBlueFx Essentials 5 Volume 3")</f>
        <v>NewBlueFx Essentials 5 Volume 3</v>
      </c>
      <c r="B5712" s="4" t="s">
        <v>4492</v>
      </c>
      <c r="C5712" s="8" t="s">
        <v>5</v>
      </c>
      <c r="D5712" s="11" t="s">
        <v>6927</v>
      </c>
    </row>
    <row r="5713" spans="1:4" ht="30">
      <c r="A5713" s="5" t="str">
        <f>HYPERLINK("https://www.oit.va.gov/Services/TRM/ToolPage.aspx?tid=14404^","NewBlueFx Filters 5 Color Fast 2")</f>
        <v>NewBlueFx Filters 5 Color Fast 2</v>
      </c>
      <c r="B5713" s="4" t="s">
        <v>4492</v>
      </c>
      <c r="C5713" s="8" t="s">
        <v>5</v>
      </c>
      <c r="D5713" s="11" t="s">
        <v>6928</v>
      </c>
    </row>
    <row r="5714" spans="1:4" ht="30">
      <c r="A5714" s="5" t="str">
        <f>HYPERLINK("https://www.oit.va.gov/Services/TRM/ToolPage.aspx?tid=14406^","NewBlueFx Filters 5 Recolor")</f>
        <v>NewBlueFx Filters 5 Recolor</v>
      </c>
      <c r="B5714" s="4" t="s">
        <v>4492</v>
      </c>
      <c r="C5714" s="8" t="s">
        <v>5</v>
      </c>
      <c r="D5714" s="11" t="s">
        <v>6928</v>
      </c>
    </row>
    <row r="5715" spans="1:4" ht="30">
      <c r="A5715" s="5" t="str">
        <f>HYPERLINK("https://www.oit.va.gov/Services/TRM/ToolPage.aspx?tid=14405^","NewBlueFx Filters 5 Recreate")</f>
        <v>NewBlueFx Filters 5 Recreate</v>
      </c>
      <c r="B5715" s="4" t="s">
        <v>4492</v>
      </c>
      <c r="C5715" s="8" t="s">
        <v>5</v>
      </c>
      <c r="D5715" s="11" t="s">
        <v>6929</v>
      </c>
    </row>
    <row r="5716" spans="1:4" ht="30">
      <c r="A5716" s="5" t="str">
        <f>HYPERLINK("https://www.oit.va.gov/Services/TRM/ToolPage.aspx?tid=14409^","NewBlueFX Filters 5 Refocus")</f>
        <v>NewBlueFX Filters 5 Refocus</v>
      </c>
      <c r="B5716" s="4" t="s">
        <v>4492</v>
      </c>
      <c r="C5716" s="8" t="s">
        <v>5</v>
      </c>
      <c r="D5716" s="11" t="s">
        <v>6930</v>
      </c>
    </row>
    <row r="5717" spans="1:4" ht="30">
      <c r="A5717" s="5" t="str">
        <f>HYPERLINK("https://www.oit.va.gov/Services/TRM/ToolPage.aspx?tid=14407^","NewBlueFx Stylizers 5 Excite")</f>
        <v>NewBlueFx Stylizers 5 Excite</v>
      </c>
      <c r="B5717" s="4" t="s">
        <v>4492</v>
      </c>
      <c r="C5717" s="8" t="s">
        <v>5</v>
      </c>
      <c r="D5717" s="11" t="s">
        <v>2567</v>
      </c>
    </row>
    <row r="5718" spans="1:4" ht="30">
      <c r="A5718" s="5" t="str">
        <f>HYPERLINK("https://www.oit.va.gov/Services/TRM/ToolPage.aspx?tid=14408^","NewBlueFx Stylizers 5 Illuminate")</f>
        <v>NewBlueFx Stylizers 5 Illuminate</v>
      </c>
      <c r="B5718" s="4" t="s">
        <v>4492</v>
      </c>
      <c r="C5718" s="8" t="s">
        <v>5</v>
      </c>
      <c r="D5718" s="11" t="s">
        <v>6929</v>
      </c>
    </row>
    <row r="5719" spans="1:4" ht="30">
      <c r="A5719" s="5" t="str">
        <f>HYPERLINK("https://www.oit.va.gov/Services/TRM/ToolPage.aspx?tid=14411^","NewBlueFX Transitions 5 Dimensions")</f>
        <v>NewBlueFX Transitions 5 Dimensions</v>
      </c>
      <c r="B5719" s="4" t="s">
        <v>4492</v>
      </c>
      <c r="C5719" s="8" t="s">
        <v>5</v>
      </c>
      <c r="D5719" s="11" t="s">
        <v>6930</v>
      </c>
    </row>
    <row r="5720" spans="1:4" ht="30">
      <c r="A5720" s="5" t="str">
        <f>HYPERLINK("https://www.oit.va.gov/Services/TRM/ToolPage.aspx?tid=14413^","NewBlueFX Transitions 5 Flow")</f>
        <v>NewBlueFX Transitions 5 Flow</v>
      </c>
      <c r="B5720" s="4" t="s">
        <v>4492</v>
      </c>
      <c r="C5720" s="8" t="s">
        <v>5</v>
      </c>
      <c r="D5720" s="11" t="s">
        <v>6931</v>
      </c>
    </row>
    <row r="5721" spans="1:4" ht="30">
      <c r="A5721" s="5" t="str">
        <f>HYPERLINK("https://www.oit.va.gov/Services/TRM/ToolPage.aspx?tid=14424^","NewBlueFX Transitions 5 Inspire")</f>
        <v>NewBlueFX Transitions 5 Inspire</v>
      </c>
      <c r="B5721" s="4" t="s">
        <v>4492</v>
      </c>
      <c r="C5721" s="8" t="s">
        <v>5</v>
      </c>
      <c r="D5721" s="11" t="s">
        <v>6932</v>
      </c>
    </row>
    <row r="5722" spans="1:4" ht="30">
      <c r="A5722" s="5" t="str">
        <f>HYPERLINK("https://www.oit.va.gov/Services/TRM/ToolPage.aspx?tid=15735^","EndoManager Imaging")</f>
        <v>EndoManager Imaging</v>
      </c>
      <c r="B5722" s="4" t="s">
        <v>5788</v>
      </c>
      <c r="C5722" s="8" t="s">
        <v>5</v>
      </c>
      <c r="D5722" s="11" t="s">
        <v>4101</v>
      </c>
    </row>
    <row r="5723" spans="1:4" ht="30">
      <c r="A5723" s="5" t="str">
        <f>HYPERLINK("https://www.oit.va.gov/Services/TRM/ToolPage.aspx?tid=15544^","Image Focus (IFO)")</f>
        <v>Image Focus (IFO)</v>
      </c>
      <c r="B5723" s="4" t="s">
        <v>5869</v>
      </c>
      <c r="C5723" s="8" t="s">
        <v>5</v>
      </c>
      <c r="D5723" s="11" t="s">
        <v>5870</v>
      </c>
    </row>
    <row r="5724" spans="1:4" ht="30">
      <c r="A5724" s="5" t="str">
        <f>HYPERLINK("https://www.oit.va.gov/Services/TRM/ToolPage.aspx?tid=15527^","The Control Editor (TCE)")</f>
        <v>The Control Editor (TCE)</v>
      </c>
      <c r="B5724" s="4" t="s">
        <v>5869</v>
      </c>
      <c r="C5724" s="8" t="s">
        <v>5</v>
      </c>
      <c r="D5724" s="11" t="s">
        <v>4062</v>
      </c>
    </row>
    <row r="5725" spans="1:4" ht="30">
      <c r="A5725" s="5" t="str">
        <f>HYPERLINK("https://www.oit.va.gov/Services/TRM/ToolPage.aspx?tid=15543^","Stand Alone Environment (SAE)")</f>
        <v>Stand Alone Environment (SAE)</v>
      </c>
      <c r="B5725" s="4" t="s">
        <v>5869</v>
      </c>
      <c r="C5725" s="8" t="s">
        <v>5</v>
      </c>
      <c r="D5725" s="11" t="s">
        <v>8722</v>
      </c>
    </row>
    <row r="5726" spans="1:4" ht="30">
      <c r="A5726" s="5" t="str">
        <f>HYPERLINK("https://www.oit.va.gov/Services/TRM/ToolPage.aspx?tid=10921^","BizCard")</f>
        <v>BizCard</v>
      </c>
      <c r="B5726" s="4" t="s">
        <v>2413</v>
      </c>
      <c r="C5726" s="8" t="s">
        <v>5</v>
      </c>
      <c r="D5726" s="11" t="s">
        <v>1898</v>
      </c>
    </row>
    <row r="5727" spans="1:4" ht="30">
      <c r="A5727" s="5" t="str">
        <f>HYPERLINK("https://www.oit.va.gov/Services/TRM/ToolPage.aspx?tid=5698^","Presto! PageManager")</f>
        <v>Presto! PageManager</v>
      </c>
      <c r="B5727" s="4" t="s">
        <v>2413</v>
      </c>
      <c r="C5727" s="8" t="s">
        <v>5</v>
      </c>
      <c r="D5727" s="11" t="s">
        <v>816</v>
      </c>
    </row>
    <row r="5728" spans="1:4" ht="30">
      <c r="A5728" s="5" t="str">
        <f>HYPERLINK("https://www.oit.va.gov/Services/TRM/ToolPage.aspx?tid=12813^","NewTek Codec")</f>
        <v>NewTek Codec</v>
      </c>
      <c r="B5728" s="4" t="s">
        <v>6933</v>
      </c>
      <c r="C5728" s="8" t="s">
        <v>5</v>
      </c>
      <c r="D5728" s="11" t="s">
        <v>1785</v>
      </c>
    </row>
    <row r="5729" spans="1:4" ht="30">
      <c r="A5729" s="5" t="str">
        <f>HYPERLINK("https://www.oit.va.gov/Services/TRM/ToolPage.aspx?tid=8207^","NewTek Virtual Set Editor")</f>
        <v>NewTek Virtual Set Editor</v>
      </c>
      <c r="B5729" s="4" t="s">
        <v>6933</v>
      </c>
      <c r="C5729" s="8" t="s">
        <v>5</v>
      </c>
      <c r="D5729" s="11" t="s">
        <v>6934</v>
      </c>
    </row>
    <row r="5730" spans="1:4" ht="30">
      <c r="A5730" s="5" t="str">
        <f>HYPERLINK("https://www.oit.va.gov/Services/TRM/ToolPage.aspx?tid=10171^","NewTek Network Device Interface (NDI) Scan Converter")</f>
        <v>NewTek Network Device Interface (NDI) Scan Converter</v>
      </c>
      <c r="B5730" s="4" t="s">
        <v>6933</v>
      </c>
      <c r="C5730" s="8" t="s">
        <v>5</v>
      </c>
      <c r="D5730" s="11" t="s">
        <v>8335</v>
      </c>
    </row>
    <row r="5731" spans="1:4" ht="30">
      <c r="A5731" s="5" t="str">
        <f>HYPERLINK("https://www.oit.va.gov/Services/TRM/ToolPage.aspx?tid=16600^","NDI Tools (Windows)")</f>
        <v>NDI Tools (Windows)</v>
      </c>
      <c r="B5731" s="4" t="s">
        <v>5374</v>
      </c>
      <c r="C5731" s="8" t="s">
        <v>5</v>
      </c>
      <c r="D5731" s="11" t="s">
        <v>5375</v>
      </c>
    </row>
    <row r="5732" spans="1:4" ht="30">
      <c r="A5732" s="5" t="str">
        <f>HYPERLINK("https://www.oit.va.gov/Services/TRM/ToolPage.aspx?tid=10618^","JavaScript Object Notation (JSON).NET")</f>
        <v>JavaScript Object Notation (JSON).NET</v>
      </c>
      <c r="B5732" s="4" t="s">
        <v>33</v>
      </c>
      <c r="C5732" s="8" t="s">
        <v>5</v>
      </c>
      <c r="D5732" s="11" t="s">
        <v>34</v>
      </c>
    </row>
    <row r="5733" spans="1:4" ht="30">
      <c r="A5733" s="5" t="str">
        <f>HYPERLINK("https://www.oit.va.gov/Services/TRM/ToolPage.aspx?tid=11395^","NeuroExplorer")</f>
        <v>NeuroExplorer</v>
      </c>
      <c r="B5733" s="4" t="s">
        <v>8331</v>
      </c>
      <c r="C5733" s="8" t="s">
        <v>5</v>
      </c>
      <c r="D5733" s="11" t="s">
        <v>6725</v>
      </c>
    </row>
    <row r="5734" spans="1:4" ht="30">
      <c r="A5734" s="5" t="str">
        <f>HYPERLINK("https://www.oit.va.gov/Services/TRM/ToolPage.aspx?tid=10044^","ACCESS Office")</f>
        <v>ACCESS Office</v>
      </c>
      <c r="B5734" s="4" t="s">
        <v>3132</v>
      </c>
      <c r="C5734" s="8" t="s">
        <v>5</v>
      </c>
      <c r="D5734" s="11" t="s">
        <v>3133</v>
      </c>
    </row>
    <row r="5735" spans="1:4" ht="30">
      <c r="A5735" s="5" t="str">
        <f>HYPERLINK("https://www.oit.va.gov/Services/TRM/ToolPage.aspx?tid=13344^","ScanStudio")</f>
        <v>ScanStudio</v>
      </c>
      <c r="B5735" s="4" t="s">
        <v>4762</v>
      </c>
      <c r="C5735" s="8" t="s">
        <v>5</v>
      </c>
      <c r="D5735" s="11" t="s">
        <v>4763</v>
      </c>
    </row>
    <row r="5736" spans="1:4" ht="30">
      <c r="A5736" s="5" t="str">
        <f>HYPERLINK("https://www.oit.va.gov/Services/TRM/ToolPage.aspx?tid=13697^","Rapidworks")</f>
        <v>Rapidworks</v>
      </c>
      <c r="B5736" s="4" t="s">
        <v>4762</v>
      </c>
      <c r="C5736" s="8" t="s">
        <v>5</v>
      </c>
      <c r="D5736" s="11" t="s">
        <v>1575</v>
      </c>
    </row>
    <row r="5737" spans="1:4" ht="30">
      <c r="A5737" s="5" t="str">
        <f>HYPERLINK("https://www.oit.va.gov/Services/TRM/ToolPage.aspx?tid=5470^","Mirth Connect")</f>
        <v>Mirth Connect</v>
      </c>
      <c r="B5737" s="4" t="s">
        <v>765</v>
      </c>
      <c r="C5737" s="8" t="s">
        <v>5</v>
      </c>
      <c r="D5737" s="11" t="s">
        <v>766</v>
      </c>
    </row>
    <row r="5738" spans="1:4" ht="30">
      <c r="A5738" s="5" t="str">
        <f>HYPERLINK("https://www.oit.va.gov/Services/TRM/ToolPage.aspx?tid=6605^","Nginx Open Source")</f>
        <v>Nginx Open Source</v>
      </c>
      <c r="B5738" s="4" t="s">
        <v>1063</v>
      </c>
      <c r="C5738" s="8" t="s">
        <v>5</v>
      </c>
      <c r="D5738" s="11" t="s">
        <v>1064</v>
      </c>
    </row>
    <row r="5739" spans="1:4" ht="30">
      <c r="A5739" s="5" t="str">
        <f>HYPERLINK("https://www.oit.va.gov/Services/TRM/ToolPage.aspx?tid=14857^","NGINX Controller")</f>
        <v>NGINX Controller</v>
      </c>
      <c r="B5739" s="4" t="s">
        <v>1063</v>
      </c>
      <c r="C5739" s="8" t="s">
        <v>5</v>
      </c>
      <c r="D5739" s="11" t="s">
        <v>2287</v>
      </c>
    </row>
    <row r="5740" spans="1:4" ht="30">
      <c r="A5740" s="5" t="str">
        <f>HYPERLINK("https://www.oit.va.gov/Services/TRM/ToolPage.aspx?tid=14190^","ngrok")</f>
        <v>ngrok</v>
      </c>
      <c r="B5740" s="4" t="s">
        <v>6937</v>
      </c>
      <c r="C5740" s="8" t="s">
        <v>5</v>
      </c>
      <c r="D5740" s="11" t="s">
        <v>6938</v>
      </c>
    </row>
    <row r="5741" spans="1:4" ht="30">
      <c r="A5741" s="5" t="str">
        <f>HYPERLINK("https://www.oit.va.gov/Services/TRM/ToolPage.aspx?tid=6714^","NHibernate")</f>
        <v>NHibernate</v>
      </c>
      <c r="B5741" s="4" t="s">
        <v>4496</v>
      </c>
      <c r="C5741" s="8" t="s">
        <v>5</v>
      </c>
      <c r="D5741" s="11" t="s">
        <v>4497</v>
      </c>
    </row>
    <row r="5742" spans="1:4" ht="30">
      <c r="A5742" s="5" t="str">
        <f>HYPERLINK("https://www.oit.va.gov/Services/TRM/ToolPage.aspx?tid=10345^","Nexidia Workbench Software Development Kit (SDK)")</f>
        <v>Nexidia Workbench Software Development Kit (SDK)</v>
      </c>
      <c r="B5742" s="4" t="s">
        <v>2800</v>
      </c>
      <c r="C5742" s="8" t="s">
        <v>5</v>
      </c>
      <c r="D5742" s="11" t="s">
        <v>2801</v>
      </c>
    </row>
    <row r="5743" spans="1:4" ht="30">
      <c r="A5743" s="5" t="str">
        <f>HYPERLINK("https://www.oit.va.gov/Services/TRM/ToolPage.aspx?tid=13844^","CXone")</f>
        <v>CXone</v>
      </c>
      <c r="B5743" s="4" t="s">
        <v>2800</v>
      </c>
      <c r="C5743" s="8" t="s">
        <v>5</v>
      </c>
      <c r="D5743" s="11" t="s">
        <v>194</v>
      </c>
    </row>
    <row r="5744" spans="1:4" ht="30">
      <c r="A5744" s="5" t="str">
        <f>HYPERLINK("https://www.oit.va.gov/Services/TRM/ToolPage.aspx?tid=16586^","NICE CXOne Screen Agent")</f>
        <v>NICE CXOne Screen Agent</v>
      </c>
      <c r="B5744" s="4" t="s">
        <v>2800</v>
      </c>
      <c r="C5744" s="8" t="s">
        <v>5</v>
      </c>
      <c r="D5744" s="11" t="s">
        <v>4500</v>
      </c>
    </row>
    <row r="5745" spans="1:4" ht="30">
      <c r="A5745" s="5" t="str">
        <f>HYPERLINK("https://www.oit.va.gov/Services/TRM/ToolPage.aspx?tid=15880^","NICE Inform")</f>
        <v>NICE Inform</v>
      </c>
      <c r="B5745" s="4" t="s">
        <v>2800</v>
      </c>
      <c r="C5745" s="8" t="s">
        <v>5</v>
      </c>
      <c r="D5745" s="11" t="s">
        <v>1640</v>
      </c>
    </row>
    <row r="5746" spans="1:4" ht="30">
      <c r="A5746" s="5" t="str">
        <f>HYPERLINK("https://www.oit.va.gov/Services/TRM/ToolPage.aspx?tid=15060^","NICE Workforce Engagement Management (WEM)")</f>
        <v>NICE Workforce Engagement Management (WEM)</v>
      </c>
      <c r="B5746" s="4" t="s">
        <v>2800</v>
      </c>
      <c r="C5746" s="8" t="s">
        <v>5</v>
      </c>
      <c r="D5746" s="11" t="s">
        <v>127</v>
      </c>
    </row>
    <row r="5747" spans="1:4" ht="30">
      <c r="A5747" s="5" t="str">
        <f>HYPERLINK("https://www.oit.va.gov/Services/TRM/ToolPage.aspx?tid=15881^","NICE Inform Recorder")</f>
        <v>NICE Inform Recorder</v>
      </c>
      <c r="B5747" s="4" t="s">
        <v>2800</v>
      </c>
      <c r="C5747" s="8" t="s">
        <v>5</v>
      </c>
      <c r="D5747" s="11" t="s">
        <v>3932</v>
      </c>
    </row>
    <row r="5748" spans="1:4" ht="30">
      <c r="A5748" s="5" t="str">
        <f>HYPERLINK("https://www.oit.va.gov/Services/TRM/ToolPage.aspx?tid=7901^","NICE Workforce Management (WFM)")</f>
        <v>NICE Workforce Management (WFM)</v>
      </c>
      <c r="B5748" s="4" t="s">
        <v>2800</v>
      </c>
      <c r="C5748" s="8" t="s">
        <v>5</v>
      </c>
      <c r="D5748" s="11" t="s">
        <v>2793</v>
      </c>
    </row>
    <row r="5749" spans="1:4" ht="30">
      <c r="A5749" s="5" t="str">
        <f>HYPERLINK("https://www.oit.va.gov/Services/TRM/ToolPage.aspx?tid=7894^","NICE Interaction Analytics")</f>
        <v>NICE Interaction Analytics</v>
      </c>
      <c r="B5749" s="4" t="s">
        <v>2800</v>
      </c>
      <c r="C5749" s="8" t="s">
        <v>5</v>
      </c>
      <c r="D5749" s="11" t="s">
        <v>5952</v>
      </c>
    </row>
    <row r="5750" spans="1:4" ht="30">
      <c r="A5750" s="5" t="str">
        <f>HYPERLINK("https://www.oit.va.gov/Services/TRM/ToolPage.aspx?tid=7736^","VPI CAPTURE")</f>
        <v>VPI CAPTURE</v>
      </c>
      <c r="B5750" s="4" t="s">
        <v>2800</v>
      </c>
      <c r="C5750" s="8" t="s">
        <v>5</v>
      </c>
      <c r="D5750" s="11" t="s">
        <v>2686</v>
      </c>
    </row>
    <row r="5751" spans="1:4" ht="30">
      <c r="A5751" s="5" t="str">
        <f>HYPERLINK("https://www.oit.va.gov/Services/TRM/ToolPage.aspx?tid=7889^","NICE Advanced Interaction Recorder (AIR)")</f>
        <v>NICE Advanced Interaction Recorder (AIR)</v>
      </c>
      <c r="B5751" s="4" t="s">
        <v>2800</v>
      </c>
      <c r="C5751" s="8" t="s">
        <v>5</v>
      </c>
      <c r="D5751" s="11" t="s">
        <v>5952</v>
      </c>
    </row>
    <row r="5752" spans="1:4" ht="30">
      <c r="A5752" s="5" t="str">
        <f>HYPERLINK("https://www.oit.va.gov/Services/TRM/ToolPage.aspx?tid=7895^","NICE Quality Central")</f>
        <v>NICE Quality Central</v>
      </c>
      <c r="B5752" s="4" t="s">
        <v>2800</v>
      </c>
      <c r="C5752" s="8" t="s">
        <v>5</v>
      </c>
      <c r="D5752" s="11" t="s">
        <v>2265</v>
      </c>
    </row>
    <row r="5753" spans="1:4" ht="30">
      <c r="A5753" s="5" t="str">
        <f>HYPERLINK("https://www.oit.va.gov/Services/TRM/ToolPage.aspx?tid=15821^","Nicolab HALO")</f>
        <v>Nicolab HALO</v>
      </c>
      <c r="B5753" s="4" t="s">
        <v>6939</v>
      </c>
      <c r="C5753" s="8" t="s">
        <v>5</v>
      </c>
      <c r="D5753" s="11" t="s">
        <v>6940</v>
      </c>
    </row>
    <row r="5754" spans="1:4" ht="30">
      <c r="A5754" s="5" t="str">
        <f>HYPERLINK("https://www.oit.va.gov/Services/TRM/ToolPage.aspx?tid=16880^","Clear Cache for Current Tab Chrome Extension")</f>
        <v>Clear Cache for Current Tab Chrome Extension</v>
      </c>
      <c r="B5754" s="4" t="s">
        <v>3921</v>
      </c>
      <c r="C5754" s="8" t="s">
        <v>5</v>
      </c>
      <c r="D5754" s="11" t="s">
        <v>3922</v>
      </c>
    </row>
    <row r="5755" spans="1:4" ht="30">
      <c r="A5755" s="5" t="str">
        <f>HYPERLINK("https://www.oit.va.gov/Services/TRM/ToolPage.aspx?tid=15737^","Glances")</f>
        <v>Glances</v>
      </c>
      <c r="B5755" s="4" t="s">
        <v>6653</v>
      </c>
      <c r="C5755" s="8" t="s">
        <v>5</v>
      </c>
      <c r="D5755" s="11" t="s">
        <v>6654</v>
      </c>
    </row>
    <row r="5756" spans="1:4" ht="30">
      <c r="A5756" s="5" t="str">
        <f>HYPERLINK("https://www.oit.va.gov/Services/TRM/StandardPage.aspx?tid=5216^","RxNorm")</f>
        <v>RxNorm</v>
      </c>
      <c r="B5756" s="4" t="s">
        <v>1246</v>
      </c>
      <c r="C5756" s="8" t="s">
        <v>5</v>
      </c>
      <c r="D5756" s="11" t="s">
        <v>1247</v>
      </c>
    </row>
    <row r="5757" spans="1:4" ht="30">
      <c r="A5757" s="5" t="str">
        <f>HYPERLINK("https://www.oit.va.gov/Services/TRM/ToolPage.aspx?tid=15657^","Global Unique Identifier Tool (GUID)")</f>
        <v>Global Unique Identifier Tool (GUID)</v>
      </c>
      <c r="B5757" s="4" t="s">
        <v>1246</v>
      </c>
      <c r="C5757" s="8" t="s">
        <v>5</v>
      </c>
      <c r="D5757" s="11" t="s">
        <v>2628</v>
      </c>
    </row>
    <row r="5758" spans="1:4" ht="30">
      <c r="A5758" s="5" t="str">
        <f>HYPERLINK("https://www.oit.va.gov/Services/TRM/StandardPage.aspx?tid=5446^","Unified Medical Language System (UMLS)")</f>
        <v>Unified Medical Language System (UMLS)</v>
      </c>
      <c r="B5758" s="4" t="s">
        <v>1246</v>
      </c>
      <c r="C5758" s="8" t="s">
        <v>5</v>
      </c>
      <c r="D5758" s="11" t="s">
        <v>3045</v>
      </c>
    </row>
    <row r="5759" spans="1:4" ht="30">
      <c r="A5759" s="5" t="str">
        <f>HYPERLINK("https://www.oit.va.gov/Services/TRM/ToolPage.aspx?tid=13618^","Medical Image Processing, Analysis, and Visualization (MIPAV)")</f>
        <v>Medical Image Processing, Analysis, and Visualization (MIPAV)</v>
      </c>
      <c r="B5759" s="4" t="s">
        <v>1246</v>
      </c>
      <c r="C5759" s="8" t="s">
        <v>5</v>
      </c>
      <c r="D5759" s="11" t="s">
        <v>5935</v>
      </c>
    </row>
    <row r="5760" spans="1:4" ht="30">
      <c r="A5760" s="5" t="str">
        <f>HYPERLINK("https://www.oit.va.gov/Services/TRM/StandardPage.aspx?tid=9527^","United States (US) Extension of Systematized Nomenclature of Medicine Clinical Terms (SNOMED-CT)")</f>
        <v>United States (US) Extension of Systematized Nomenclature of Medicine Clinical Terms (SNOMED-CT)</v>
      </c>
      <c r="B5760" s="4" t="s">
        <v>1246</v>
      </c>
      <c r="C5760" s="8" t="s">
        <v>5</v>
      </c>
      <c r="D5760" s="11" t="s">
        <v>1247</v>
      </c>
    </row>
    <row r="5761" spans="1:4" ht="30">
      <c r="A5761" s="5" t="str">
        <f>HYPERLINK("https://www.oit.va.gov/Services/TRM/ToolPage.aspx?tid=8170^","NeuroWorkbench (NWB)")</f>
        <v>NeuroWorkbench (NWB)</v>
      </c>
      <c r="B5761" s="4" t="s">
        <v>2798</v>
      </c>
      <c r="C5761" s="8" t="s">
        <v>5</v>
      </c>
      <c r="D5761" s="11" t="s">
        <v>2799</v>
      </c>
    </row>
    <row r="5762" spans="1:4" ht="30">
      <c r="A5762" s="5" t="str">
        <f>HYPERLINK("https://www.oit.va.gov/Services/TRM/ToolPage.aspx?tid=10286^","Polysmith")</f>
        <v>Polysmith</v>
      </c>
      <c r="B5762" s="4" t="s">
        <v>2798</v>
      </c>
      <c r="C5762" s="8" t="s">
        <v>5</v>
      </c>
      <c r="D5762" s="11" t="s">
        <v>2652</v>
      </c>
    </row>
    <row r="5763" spans="1:4" ht="30">
      <c r="A5763" s="5" t="str">
        <f>HYPERLINK("https://www.oit.va.gov/Services/TRM/ToolPage.aspx?tid=16512^","ViTrac")</f>
        <v>ViTrac</v>
      </c>
      <c r="B5763" s="4" t="s">
        <v>2798</v>
      </c>
      <c r="C5763" s="8" t="s">
        <v>5</v>
      </c>
      <c r="D5763" s="11" t="s">
        <v>1550</v>
      </c>
    </row>
    <row r="5764" spans="1:4" ht="30">
      <c r="A5764" s="5" t="str">
        <f>HYPERLINK("https://www.oit.va.gov/Services/TRM/ToolPage.aspx?tid=15322^","ViewNX-i")</f>
        <v>ViewNX-i</v>
      </c>
      <c r="B5764" s="4" t="s">
        <v>3064</v>
      </c>
      <c r="C5764" s="8" t="s">
        <v>5</v>
      </c>
      <c r="D5764" s="11" t="s">
        <v>3065</v>
      </c>
    </row>
    <row r="5765" spans="1:4" ht="30">
      <c r="A5765" s="5" t="str">
        <f>HYPERLINK("https://www.oit.va.gov/Services/TRM/ToolPage.aspx?tid=10479^","Nikon Message Center")</f>
        <v>Nikon Message Center</v>
      </c>
      <c r="B5765" s="4" t="s">
        <v>3064</v>
      </c>
      <c r="C5765" s="8" t="s">
        <v>5</v>
      </c>
      <c r="D5765" s="11" t="s">
        <v>513</v>
      </c>
    </row>
    <row r="5766" spans="1:4" ht="30">
      <c r="A5766" s="5" t="str">
        <f>HYPERLINK("https://www.oit.va.gov/Services/TRM/ToolPage.aspx?tid=8761^","ViewNX 2")</f>
        <v>ViewNX 2</v>
      </c>
      <c r="B5766" s="4" t="s">
        <v>3064</v>
      </c>
      <c r="C5766" s="8" t="s">
        <v>5</v>
      </c>
      <c r="D5766" s="11" t="s">
        <v>3697</v>
      </c>
    </row>
    <row r="5767" spans="1:4" ht="30">
      <c r="A5767" s="5" t="str">
        <f>HYPERLINK("https://www.oit.va.gov/Services/TRM/ToolPage.aspx?tid=14178^","Application DS-L4 Viewer")</f>
        <v>Application DS-L4 Viewer</v>
      </c>
      <c r="B5767" s="4" t="s">
        <v>3064</v>
      </c>
      <c r="C5767" s="8" t="s">
        <v>5</v>
      </c>
      <c r="D5767" s="11" t="s">
        <v>5644</v>
      </c>
    </row>
    <row r="5768" spans="1:4" ht="30">
      <c r="A5768" s="5" t="str">
        <f>HYPERLINK("https://www.oit.va.gov/Services/TRM/ToolPage.aspx?tid=8542^","Nikon Instruments Software (NIS)-Elements Advanced Research (AR)")</f>
        <v>Nikon Instruments Software (NIS)-Elements Advanced Research (AR)</v>
      </c>
      <c r="B5768" s="4" t="s">
        <v>3064</v>
      </c>
      <c r="C5768" s="8" t="s">
        <v>5</v>
      </c>
      <c r="D5768" s="11" t="s">
        <v>5408</v>
      </c>
    </row>
    <row r="5769" spans="1:4" ht="30">
      <c r="A5769" s="5" t="str">
        <f>HYPERLINK("https://www.oit.va.gov/Services/TRM/ToolPage.aspx?tid=11108^","Nikon Instruments Software (NIS)-Elements Documentation (D)")</f>
        <v>Nikon Instruments Software (NIS)-Elements Documentation (D)</v>
      </c>
      <c r="B5769" s="4" t="s">
        <v>3064</v>
      </c>
      <c r="C5769" s="8" t="s">
        <v>5</v>
      </c>
      <c r="D5769" s="11" t="s">
        <v>3801</v>
      </c>
    </row>
    <row r="5770" spans="1:4" ht="30">
      <c r="A5770" s="5" t="str">
        <f>HYPERLINK("https://www.oit.va.gov/Services/TRM/ToolPage.aspx?tid=15237^","Nikon Instruments Software (NIS)-Elements Freeware (F)")</f>
        <v>Nikon Instruments Software (NIS)-Elements Freeware (F)</v>
      </c>
      <c r="B5770" s="4" t="s">
        <v>3064</v>
      </c>
      <c r="C5770" s="8" t="s">
        <v>5</v>
      </c>
      <c r="D5770" s="11" t="s">
        <v>793</v>
      </c>
    </row>
    <row r="5771" spans="1:4" ht="30">
      <c r="A5771" s="5" t="str">
        <f>HYPERLINK("https://www.oit.va.gov/Services/TRM/ToolPage.aspx?tid=11662^","Picture Control Utility")</f>
        <v>Picture Control Utility</v>
      </c>
      <c r="B5771" s="4" t="s">
        <v>3064</v>
      </c>
      <c r="C5771" s="8" t="s">
        <v>5</v>
      </c>
      <c r="D5771" s="11" t="s">
        <v>6277</v>
      </c>
    </row>
    <row r="5772" spans="1:4" ht="30">
      <c r="A5772" s="5" t="str">
        <f>HYPERLINK("https://www.oit.va.gov/Services/TRM/ToolPage.aspx?tid=13192^","GnuTLS")</f>
        <v>GnuTLS</v>
      </c>
      <c r="B5772" s="4" t="s">
        <v>7989</v>
      </c>
      <c r="C5772" s="8" t="s">
        <v>5</v>
      </c>
      <c r="D5772" s="11" t="s">
        <v>3314</v>
      </c>
    </row>
    <row r="5773" spans="1:4" ht="30">
      <c r="A5773" s="5" t="str">
        <f>HYPERLINK("https://www.oit.va.gov/Services/TRM/ToolPage.aspx?tid=15230^","Subtitle Edit")</f>
        <v>Subtitle Edit</v>
      </c>
      <c r="B5773" s="4" t="s">
        <v>8754</v>
      </c>
      <c r="C5773" s="8" t="s">
        <v>5</v>
      </c>
      <c r="D5773" s="11" t="s">
        <v>8755</v>
      </c>
    </row>
    <row r="5774" spans="1:4" ht="30">
      <c r="A5774" s="5" t="str">
        <f>HYPERLINK("https://www.oit.va.gov/Services/TRM/ToolPage.aspx?tid=6487^","Nintex for SharePoint")</f>
        <v>Nintex for SharePoint</v>
      </c>
      <c r="B5774" s="4" t="s">
        <v>3413</v>
      </c>
      <c r="C5774" s="8" t="s">
        <v>5</v>
      </c>
      <c r="D5774" s="11" t="s">
        <v>3414</v>
      </c>
    </row>
    <row r="5775" spans="1:4" ht="30">
      <c r="A5775" s="5" t="str">
        <f>HYPERLINK("https://www.oit.va.gov/Services/TRM/ToolPage.aspx?tid=15236^","Nintex Robotic Process Automation (RPA)")</f>
        <v>Nintex Robotic Process Automation (RPA)</v>
      </c>
      <c r="B5775" s="4" t="s">
        <v>3413</v>
      </c>
      <c r="C5775" s="8" t="s">
        <v>5</v>
      </c>
      <c r="D5775" s="11" t="s">
        <v>4505</v>
      </c>
    </row>
    <row r="5776" spans="1:4" ht="30">
      <c r="A5776" s="5" t="str">
        <f>HYPERLINK("https://www.oit.va.gov/Services/TRM/ToolPage.aspx?tid=9298^","K2 blackpearl")</f>
        <v>K2 blackpearl</v>
      </c>
      <c r="B5776" s="4" t="s">
        <v>3413</v>
      </c>
      <c r="C5776" s="8" t="s">
        <v>5</v>
      </c>
      <c r="D5776" s="11" t="s">
        <v>5291</v>
      </c>
    </row>
    <row r="5777" spans="1:4" ht="30">
      <c r="A5777" s="5" t="str">
        <f>HYPERLINK("https://www.oit.va.gov/Services/TRM/ToolPage.aspx?tid=10473^","ESEDatabaseView")</f>
        <v>ESEDatabaseView</v>
      </c>
      <c r="B5777" s="4" t="s">
        <v>5186</v>
      </c>
      <c r="C5777" s="8" t="s">
        <v>5</v>
      </c>
      <c r="D5777" s="11" t="s">
        <v>2571</v>
      </c>
    </row>
    <row r="5778" spans="1:4" ht="30">
      <c r="A5778" s="5" t="str">
        <f>HYPERLINK("https://www.oit.va.gov/Services/TRM/ToolPage.aspx?tid=15548^","WinLogOnView")</f>
        <v>WinLogOnView</v>
      </c>
      <c r="B5778" s="4" t="s">
        <v>5186</v>
      </c>
      <c r="C5778" s="8" t="s">
        <v>5</v>
      </c>
      <c r="D5778" s="11" t="s">
        <v>1676</v>
      </c>
    </row>
    <row r="5779" spans="1:4" ht="30">
      <c r="A5779" s="5" t="str">
        <f>HYPERLINK("https://www.oit.va.gov/Services/TRM/ToolPage.aspx?tid=13686^","BlueScreenView")</f>
        <v>BlueScreenView</v>
      </c>
      <c r="B5779" s="4" t="s">
        <v>5186</v>
      </c>
      <c r="C5779" s="8" t="s">
        <v>5</v>
      </c>
      <c r="D5779" s="11" t="s">
        <v>7570</v>
      </c>
    </row>
    <row r="5780" spans="1:4" ht="30">
      <c r="A5780" s="5" t="str">
        <f>HYPERLINK("https://www.oit.va.gov/Services/TRM/ToolPage.aspx?tid=15172^","BrowsingHistoryView")</f>
        <v>BrowsingHistoryView</v>
      </c>
      <c r="B5780" s="4" t="s">
        <v>5186</v>
      </c>
      <c r="C5780" s="8" t="s">
        <v>5</v>
      </c>
      <c r="D5780" s="11" t="s">
        <v>7582</v>
      </c>
    </row>
    <row r="5781" spans="1:4" ht="30">
      <c r="A5781" s="5" t="str">
        <f>HYPERLINK("https://www.oit.va.gov/Services/TRM/ToolPage.aspx?tid=16802^","NirSoft RegScanner")</f>
        <v>NirSoft RegScanner</v>
      </c>
      <c r="B5781" s="4" t="s">
        <v>5186</v>
      </c>
      <c r="C5781" s="8" t="s">
        <v>5</v>
      </c>
      <c r="D5781" s="11" t="s">
        <v>2374</v>
      </c>
    </row>
    <row r="5782" spans="1:4" ht="30">
      <c r="A5782" s="5" t="str">
        <f>HYPERLINK("https://www.oit.va.gov/Services/TRM/ToolPage.aspx?tid=13655^","PingInfoView")</f>
        <v>PingInfoView</v>
      </c>
      <c r="B5782" s="4" t="s">
        <v>5186</v>
      </c>
      <c r="C5782" s="8" t="s">
        <v>5</v>
      </c>
      <c r="D5782" s="11" t="s">
        <v>2011</v>
      </c>
    </row>
    <row r="5783" spans="1:4" ht="30">
      <c r="A5783" s="5" t="str">
        <f>HYPERLINK("https://www.oit.va.gov/Services/TRM/ToolPage.aspx?tid=15231^","Artifact Detection Tools (ART)")</f>
        <v>Artifact Detection Tools (ART)</v>
      </c>
      <c r="B5783" s="4" t="s">
        <v>7479</v>
      </c>
      <c r="C5783" s="8" t="s">
        <v>5</v>
      </c>
      <c r="D5783" s="11" t="s">
        <v>7480</v>
      </c>
    </row>
    <row r="5784" spans="1:4" ht="30">
      <c r="A5784" s="5" t="str">
        <f>HYPERLINK("https://www.oit.va.gov/Services/TRM/ToolPage.aspx?tid=6078^","Nitro Pro")</f>
        <v>Nitro Pro</v>
      </c>
      <c r="B5784" s="4" t="s">
        <v>4506</v>
      </c>
      <c r="C5784" s="8" t="s">
        <v>5</v>
      </c>
      <c r="D5784" s="11" t="s">
        <v>4507</v>
      </c>
    </row>
    <row r="5785" spans="1:4" ht="30">
      <c r="A5785" s="5" t="str">
        <f>HYPERLINK("https://www.oit.va.gov/Services/TRM/ToolPage.aspx?tid=14457^","Primo Portable Document format (PrimoPDF)")</f>
        <v>Primo Portable Document format (PrimoPDF)</v>
      </c>
      <c r="B5785" s="4" t="s">
        <v>4506</v>
      </c>
      <c r="C5785" s="8" t="s">
        <v>5</v>
      </c>
      <c r="D5785" s="11" t="s">
        <v>4579</v>
      </c>
    </row>
    <row r="5786" spans="1:4" ht="30">
      <c r="A5786" s="5" t="str">
        <f>HYPERLINK("https://www.oit.va.gov/Services/TRM/ToolPage.aspx?tid=8535^","NLog")</f>
        <v>NLog</v>
      </c>
      <c r="B5786" s="4" t="s">
        <v>4508</v>
      </c>
      <c r="C5786" s="8" t="s">
        <v>5</v>
      </c>
      <c r="D5786" s="11" t="s">
        <v>4509</v>
      </c>
    </row>
    <row r="5787" spans="1:4" ht="30">
      <c r="A5787" s="5" t="str">
        <f>HYPERLINK("https://www.oit.va.gov/Services/TRM/ToolPage.aspx?tid=16487^","Nlyte Asset Optimizer (NAO)")</f>
        <v>Nlyte Asset Optimizer (NAO)</v>
      </c>
      <c r="B5787" s="4" t="s">
        <v>782</v>
      </c>
      <c r="C5787" s="8" t="s">
        <v>5</v>
      </c>
      <c r="D5787" s="11" t="s">
        <v>267</v>
      </c>
    </row>
    <row r="5788" spans="1:4" ht="30">
      <c r="A5788" s="5" t="str">
        <f>HYPERLINK("https://www.oit.va.gov/Services/TRM/ToolPage.aspx?tid=10358^","Nlyte Energy Optimizer (NEO)")</f>
        <v>Nlyte Energy Optimizer (NEO)</v>
      </c>
      <c r="B5788" s="4" t="s">
        <v>782</v>
      </c>
      <c r="C5788" s="8" t="s">
        <v>5</v>
      </c>
      <c r="D5788" s="11" t="s">
        <v>1773</v>
      </c>
    </row>
    <row r="5789" spans="1:4" ht="30">
      <c r="A5789" s="5" t="str">
        <f>HYPERLINK("https://www.oit.va.gov/Services/TRM/ToolPage.aspx?tid=16204^","Nmap (Network Mapper) Packet Capture (Npcap) OEM")</f>
        <v>Nmap (Network Mapper) Packet Capture (Npcap) OEM</v>
      </c>
      <c r="B5789" s="4" t="s">
        <v>6941</v>
      </c>
      <c r="C5789" s="8" t="s">
        <v>5</v>
      </c>
      <c r="D5789" s="11" t="s">
        <v>6942</v>
      </c>
    </row>
    <row r="5790" spans="1:4" ht="30">
      <c r="A5790" s="5" t="str">
        <f>HYPERLINK("https://www.oit.va.gov/Services/TRM/ToolPage.aspx?tid=14333^","No Magic Magic Draw")</f>
        <v>No Magic Magic Draw</v>
      </c>
      <c r="B5790" s="4" t="s">
        <v>2288</v>
      </c>
      <c r="C5790" s="8" t="s">
        <v>5</v>
      </c>
      <c r="D5790" s="11" t="s">
        <v>2163</v>
      </c>
    </row>
    <row r="5791" spans="1:4" ht="30">
      <c r="A5791" s="5" t="str">
        <f>HYPERLINK("https://www.oit.va.gov/Services/TRM/ToolPage.aspx?tid=10259^","Suicide Implicit Association Test (IAT)")</f>
        <v>Suicide Implicit Association Test (IAT)</v>
      </c>
      <c r="B5791" s="4" t="s">
        <v>7192</v>
      </c>
      <c r="C5791" s="8" t="s">
        <v>5</v>
      </c>
      <c r="D5791" s="11" t="s">
        <v>2515</v>
      </c>
    </row>
    <row r="5792" spans="1:4" ht="30">
      <c r="A5792" s="5" t="str">
        <f>HYPERLINK("https://www.oit.va.gov/Services/TRM/ToolPage.aspx?tid=12982^","Nock")</f>
        <v>Nock</v>
      </c>
      <c r="B5792" s="4" t="s">
        <v>4512</v>
      </c>
      <c r="C5792" s="8" t="s">
        <v>5</v>
      </c>
      <c r="D5792" s="11" t="s">
        <v>4513</v>
      </c>
    </row>
    <row r="5793" spans="1:4" ht="30">
      <c r="A5793" s="5" t="str">
        <f>HYPERLINK("https://www.oit.va.gov/Services/TRM/ToolPage.aspx?tid=6716^","Node.js	")</f>
        <v xml:space="preserve">Node.js	</v>
      </c>
      <c r="B5793" s="4" t="s">
        <v>46</v>
      </c>
      <c r="C5793" s="8" t="s">
        <v>5</v>
      </c>
      <c r="D5793" s="11" t="s">
        <v>47</v>
      </c>
    </row>
    <row r="5794" spans="1:4" ht="30">
      <c r="A5794" s="5" t="str">
        <f>HYPERLINK("https://www.oit.va.gov/Services/TRM/ToolPage.aspx?tid=9362^","JavaScript Yet Another Markup Language (js-yaml)")</f>
        <v>JavaScript Yet Another Markup Language (js-yaml)</v>
      </c>
      <c r="B5794" s="4" t="s">
        <v>8121</v>
      </c>
      <c r="C5794" s="8" t="s">
        <v>5</v>
      </c>
      <c r="D5794" s="11" t="s">
        <v>8122</v>
      </c>
    </row>
    <row r="5795" spans="1:4" ht="30">
      <c r="A5795" s="5" t="str">
        <f>HYPERLINK("https://www.oit.va.gov/Services/TRM/ToolPage.aspx?tid=7374^","FxFactory")</f>
        <v>FxFactory</v>
      </c>
      <c r="B5795" s="4" t="s">
        <v>1565</v>
      </c>
      <c r="C5795" s="8" t="s">
        <v>5</v>
      </c>
      <c r="D5795" s="11" t="s">
        <v>1566</v>
      </c>
    </row>
    <row r="5796" spans="1:4" ht="30">
      <c r="A5796" s="5" t="str">
        <f>HYPERLINK("https://www.oit.va.gov/Services/TRM/ToolPage.aspx?tid=11179^","EthoVision Extra (XT)")</f>
        <v>EthoVision Extra (XT)</v>
      </c>
      <c r="B5796" s="4" t="s">
        <v>488</v>
      </c>
      <c r="C5796" s="8" t="s">
        <v>5</v>
      </c>
      <c r="D5796" s="11" t="s">
        <v>489</v>
      </c>
    </row>
    <row r="5797" spans="1:4" ht="30">
      <c r="A5797" s="5" t="str">
        <f>HYPERLINK("https://www.oit.va.gov/Services/TRM/ToolPage.aspx?tid=10875^","Media Recorder")</f>
        <v>Media Recorder</v>
      </c>
      <c r="B5797" s="4" t="s">
        <v>488</v>
      </c>
      <c r="C5797" s="8" t="s">
        <v>5</v>
      </c>
      <c r="D5797" s="11" t="s">
        <v>1721</v>
      </c>
    </row>
    <row r="5798" spans="1:4" ht="30">
      <c r="A5798" s="5" t="str">
        <f>HYPERLINK("https://www.oit.va.gov/Services/TRM/ToolPage.aspx?tid=10877^","The Observer XT")</f>
        <v>The Observer XT</v>
      </c>
      <c r="B5798" s="4" t="s">
        <v>488</v>
      </c>
      <c r="C5798" s="8" t="s">
        <v>5</v>
      </c>
      <c r="D5798" s="11" t="s">
        <v>3023</v>
      </c>
    </row>
    <row r="5799" spans="1:4" ht="30">
      <c r="A5799" s="5" t="str">
        <f>HYPERLINK("https://www.oit.va.gov/Services/TRM/ToolPage.aspx?tid=14766^","FaceReader")</f>
        <v>FaceReader</v>
      </c>
      <c r="B5799" s="4" t="s">
        <v>488</v>
      </c>
      <c r="C5799" s="8" t="s">
        <v>5</v>
      </c>
      <c r="D5799" s="11" t="s">
        <v>1721</v>
      </c>
    </row>
    <row r="5800" spans="1:4" ht="30">
      <c r="A5800" s="5" t="str">
        <f>HYPERLINK("https://www.oit.va.gov/Services/TRM/ToolPage.aspx?tid=7705^","NoMachine RemoteDesktop")</f>
        <v>NoMachine RemoteDesktop</v>
      </c>
      <c r="B5800" s="4" t="s">
        <v>6948</v>
      </c>
      <c r="C5800" s="8" t="s">
        <v>5</v>
      </c>
      <c r="D5800" s="11" t="s">
        <v>3434</v>
      </c>
    </row>
    <row r="5801" spans="1:4" ht="30">
      <c r="A5801" s="5" t="str">
        <f>HYPERLINK("https://www.oit.va.gov/Services/TRM/ToolPage.aspx?tid=13149^","NoMachine Enterprise Client")</f>
        <v>NoMachine Enterprise Client</v>
      </c>
      <c r="B5801" s="4" t="s">
        <v>6948</v>
      </c>
      <c r="C5801" s="8" t="s">
        <v>5</v>
      </c>
      <c r="D5801" s="11" t="s">
        <v>6219</v>
      </c>
    </row>
    <row r="5802" spans="1:4" ht="30">
      <c r="A5802" s="5" t="str">
        <f>HYPERLINK("https://www.oit.va.gov/Services/TRM/ToolPage.aspx?tid=7760^","nVISION")</f>
        <v>nVISION</v>
      </c>
      <c r="B5802" s="4" t="s">
        <v>1780</v>
      </c>
      <c r="C5802" s="8" t="s">
        <v>5</v>
      </c>
      <c r="D5802" s="11" t="s">
        <v>1191</v>
      </c>
    </row>
    <row r="5803" spans="1:4" ht="30">
      <c r="A5803" s="5" t="str">
        <f>HYPERLINK("https://www.oit.va.gov/Services/TRM/ToolPage.aspx?tid=9542^","SenSmart Download Software")</f>
        <v>SenSmart Download Software</v>
      </c>
      <c r="B5803" s="4" t="s">
        <v>1780</v>
      </c>
      <c r="C5803" s="8" t="s">
        <v>5</v>
      </c>
      <c r="D5803" s="11" t="s">
        <v>3512</v>
      </c>
    </row>
    <row r="5804" spans="1:4" ht="30">
      <c r="A5804" s="5" t="str">
        <f>HYPERLINK("https://www.oit.va.gov/Services/TRM/ToolPage.aspx?tid=10657^","Hospitality HouseKeeper (HHK)")</f>
        <v>Hospitality HouseKeeper (HHK)</v>
      </c>
      <c r="B5804" s="4" t="s">
        <v>8036</v>
      </c>
      <c r="C5804" s="8" t="s">
        <v>5</v>
      </c>
      <c r="D5804" s="11" t="s">
        <v>705</v>
      </c>
    </row>
    <row r="5805" spans="1:4" ht="30">
      <c r="A5805" s="5" t="str">
        <f>HYPERLINK("https://www.oit.va.gov/Services/TRM/ToolPage.aspx?tid=16702^","nordicAktiva")</f>
        <v>nordicAktiva</v>
      </c>
      <c r="B5805" s="4" t="s">
        <v>5970</v>
      </c>
      <c r="C5805" s="8" t="s">
        <v>5</v>
      </c>
      <c r="D5805" s="11" t="s">
        <v>5971</v>
      </c>
    </row>
    <row r="5806" spans="1:4" ht="30">
      <c r="A5806" s="5" t="str">
        <f>HYPERLINK("https://www.oit.va.gov/Services/TRM/ToolPage.aspx?tid=16697^","nordicComfortPlayer")</f>
        <v>nordicComfortPlayer</v>
      </c>
      <c r="B5806" s="4" t="s">
        <v>5970</v>
      </c>
      <c r="C5806" s="8" t="s">
        <v>5</v>
      </c>
      <c r="D5806" s="11" t="s">
        <v>1988</v>
      </c>
    </row>
    <row r="5807" spans="1:4" ht="30">
      <c r="A5807" s="5" t="str">
        <f>HYPERLINK("https://www.oit.va.gov/Services/TRM/ToolPage.aspx?tid=15456^","Netica")</f>
        <v>Netica</v>
      </c>
      <c r="B5807" s="4" t="s">
        <v>1059</v>
      </c>
      <c r="C5807" s="8" t="s">
        <v>5</v>
      </c>
      <c r="D5807" s="11" t="s">
        <v>1060</v>
      </c>
    </row>
    <row r="5808" spans="1:4" ht="30">
      <c r="A5808" s="5" t="str">
        <f>HYPERLINK("https://www.oit.va.gov/Services/TRM/ToolPage.aspx?tid=10871^","North52 Business Process Activities (BPA)")</f>
        <v>North52 Business Process Activities (BPA)</v>
      </c>
      <c r="B5808" s="4" t="s">
        <v>3417</v>
      </c>
      <c r="C5808" s="8" t="s">
        <v>5</v>
      </c>
      <c r="D5808" s="11" t="s">
        <v>804</v>
      </c>
    </row>
    <row r="5809" spans="1:4" ht="45">
      <c r="A5809" s="5" t="str">
        <f>HYPERLINK("https://www.oit.va.gov/Services/TRM/ToolPage.aspx?tid=10400^","NetLogo")</f>
        <v>NetLogo</v>
      </c>
      <c r="B5809" s="4" t="s">
        <v>2796</v>
      </c>
      <c r="C5809" s="8" t="s">
        <v>5</v>
      </c>
      <c r="D5809" s="11" t="s">
        <v>2797</v>
      </c>
    </row>
    <row r="5810" spans="1:4" ht="30">
      <c r="A5810" s="5" t="str">
        <f>HYPERLINK("https://www.oit.va.gov/Services/TRM/ToolPage.aspx?tid=6502^","Notepad++")</f>
        <v>Notepad++</v>
      </c>
      <c r="B5810" s="4" t="s">
        <v>1186</v>
      </c>
      <c r="C5810" s="8" t="s">
        <v>5</v>
      </c>
      <c r="D5810" s="11" t="s">
        <v>1187</v>
      </c>
    </row>
    <row r="5811" spans="1:4" ht="30">
      <c r="A5811" s="5" t="str">
        <f>HYPERLINK("https://www.oit.va.gov/Services/TRM/ToolPage.aspx?tid=10430^","PageGate")</f>
        <v>PageGate</v>
      </c>
      <c r="B5811" s="4" t="s">
        <v>1072</v>
      </c>
      <c r="C5811" s="8" t="s">
        <v>5</v>
      </c>
      <c r="D5811" s="11" t="s">
        <v>1073</v>
      </c>
    </row>
    <row r="5812" spans="1:4" ht="30">
      <c r="A5812" s="5" t="str">
        <f>HYPERLINK("https://www.oit.va.gov/Services/TRM/ToolPage.aspx?tid=14048^","NovaNet Desktop Device Management Software")</f>
        <v>NovaNet Desktop Device Management Software</v>
      </c>
      <c r="B5812" s="4" t="s">
        <v>5972</v>
      </c>
      <c r="C5812" s="8" t="s">
        <v>5</v>
      </c>
      <c r="D5812" s="11" t="s">
        <v>3063</v>
      </c>
    </row>
    <row r="5813" spans="1:4" ht="30">
      <c r="A5813" s="5" t="str">
        <f>HYPERLINK("https://www.oit.va.gov/Services/TRM/ToolPage.aspx?tid=8705^","Diver-Office")</f>
        <v>Diver-Office</v>
      </c>
      <c r="B5813" s="4" t="s">
        <v>6184</v>
      </c>
      <c r="C5813" s="8" t="s">
        <v>5</v>
      </c>
      <c r="D5813" s="11" t="s">
        <v>6185</v>
      </c>
    </row>
    <row r="5814" spans="1:4" ht="30">
      <c r="A5814" s="5" t="str">
        <f>HYPERLINK("https://www.oit.va.gov/Services/TRM/ToolPage.aspx?tid=16478^","Nox Database (DB)")</f>
        <v>Nox Database (DB)</v>
      </c>
      <c r="B5814" s="4" t="s">
        <v>4517</v>
      </c>
      <c r="C5814" s="8" t="s">
        <v>5</v>
      </c>
      <c r="D5814" s="11" t="s">
        <v>4518</v>
      </c>
    </row>
    <row r="5815" spans="1:4" ht="30">
      <c r="A5815" s="5" t="str">
        <f>HYPERLINK("https://www.oit.va.gov/Services/TRM/ToolPage.aspx?tid=7958^","Noxturnal")</f>
        <v>Noxturnal</v>
      </c>
      <c r="B5815" s="4" t="s">
        <v>4517</v>
      </c>
      <c r="C5815" s="8" t="s">
        <v>5</v>
      </c>
      <c r="D5815" s="11" t="s">
        <v>4519</v>
      </c>
    </row>
    <row r="5816" spans="1:4" ht="30">
      <c r="A5816" s="5" t="str">
        <f>HYPERLINK("https://www.oit.va.gov/Services/TRM/ToolPage.aspx?tid=13022^","Node Package Manager (NPM)")</f>
        <v>Node Package Manager (NPM)</v>
      </c>
      <c r="B5816" s="4" t="s">
        <v>5381</v>
      </c>
      <c r="C5816" s="8" t="s">
        <v>5</v>
      </c>
      <c r="D5816" s="11" t="s">
        <v>905</v>
      </c>
    </row>
    <row r="5817" spans="1:4" ht="30">
      <c r="A5817" s="5" t="str">
        <f>HYPERLINK("https://www.oit.va.gov/Services/TRM/ToolPage.aspx?tid=8944^","Semver")</f>
        <v>Semver</v>
      </c>
      <c r="B5817" s="4" t="s">
        <v>1205</v>
      </c>
      <c r="C5817" s="8" t="s">
        <v>5</v>
      </c>
      <c r="D5817" s="11" t="s">
        <v>1206</v>
      </c>
    </row>
    <row r="5818" spans="1:4" ht="30">
      <c r="A5818" s="5" t="str">
        <f>HYPERLINK("https://www.oit.va.gov/Services/TRM/ToolPage.aspx?tid=15274^","Port Scanner")</f>
        <v>Port Scanner</v>
      </c>
      <c r="B5818" s="4" t="s">
        <v>8448</v>
      </c>
      <c r="C5818" s="8" t="s">
        <v>5</v>
      </c>
      <c r="D5818" s="11" t="s">
        <v>8449</v>
      </c>
    </row>
    <row r="5819" spans="1:4" ht="30">
      <c r="A5819" s="5" t="str">
        <f>HYPERLINK("https://www.oit.va.gov/Services/TRM/StandardPage.aspx?tid=5391^","Regulations and Procedures for Federal Radio Frequency Management")</f>
        <v>Regulations and Procedures for Federal Radio Frequency Management</v>
      </c>
      <c r="B5819" s="4" t="s">
        <v>8549</v>
      </c>
      <c r="C5819" s="8" t="s">
        <v>5</v>
      </c>
      <c r="D5819" s="11" t="s">
        <v>1744</v>
      </c>
    </row>
    <row r="5820" spans="1:4" ht="30">
      <c r="A5820" s="5" t="str">
        <f>HYPERLINK("https://www.oit.va.gov/Services/TRM/ToolPage.aspx?tid=16459^","nTop")</f>
        <v>nTop</v>
      </c>
      <c r="B5820" s="4" t="s">
        <v>2803</v>
      </c>
      <c r="C5820" s="8" t="s">
        <v>5</v>
      </c>
      <c r="D5820" s="11" t="s">
        <v>2804</v>
      </c>
    </row>
    <row r="5821" spans="1:4" ht="30">
      <c r="A5821" s="5" t="str">
        <f>HYPERLINK("https://www.oit.va.gov/Services/TRM/ToolPage.aspx?tid=11214^","Cloud Connector")</f>
        <v>Cloud Connector</v>
      </c>
      <c r="B5821" s="4" t="s">
        <v>1227</v>
      </c>
      <c r="C5821" s="8" t="s">
        <v>5</v>
      </c>
      <c r="D5821" s="11" t="s">
        <v>1228</v>
      </c>
    </row>
    <row r="5822" spans="1:4" ht="30">
      <c r="A5822" s="5" t="str">
        <f>HYPERLINK("https://www.oit.va.gov/Services/TRM/ToolPage.aspx?tid=5744^","Clintegrity VA Chart Complete (VACC)")</f>
        <v>Clintegrity VA Chart Complete (VACC)</v>
      </c>
      <c r="B5822" s="4" t="s">
        <v>1227</v>
      </c>
      <c r="C5822" s="8" t="s">
        <v>5</v>
      </c>
      <c r="D5822" s="11" t="s">
        <v>1434</v>
      </c>
    </row>
    <row r="5823" spans="1:4" ht="30">
      <c r="A5823" s="5" t="str">
        <f>HYPERLINK("https://www.oit.va.gov/Services/TRM/ToolPage.aspx?tid=15794^","Nuance Citrix Extensions")</f>
        <v>Nuance Citrix Extensions</v>
      </c>
      <c r="B5823" s="4" t="s">
        <v>1227</v>
      </c>
      <c r="C5823" s="8" t="s">
        <v>5</v>
      </c>
      <c r="D5823" s="11" t="s">
        <v>1777</v>
      </c>
    </row>
    <row r="5824" spans="1:4" ht="30">
      <c r="A5824" s="5" t="str">
        <f>HYPERLINK("https://www.oit.va.gov/Services/TRM/ToolPage.aspx?tid=11323^","Nuance Clintegrity")</f>
        <v>Nuance Clintegrity</v>
      </c>
      <c r="B5824" s="4" t="s">
        <v>1227</v>
      </c>
      <c r="C5824" s="8" t="s">
        <v>5</v>
      </c>
      <c r="D5824" s="11" t="s">
        <v>1778</v>
      </c>
    </row>
    <row r="5825" spans="1:4" ht="30">
      <c r="A5825" s="5" t="str">
        <f>HYPERLINK("https://www.oit.va.gov/Services/TRM/ToolPage.aspx?tid=16584^","Nuance PowerConnect Communicator")</f>
        <v>Nuance PowerConnect Communicator</v>
      </c>
      <c r="B5825" s="4" t="s">
        <v>1227</v>
      </c>
      <c r="C5825" s="8" t="s">
        <v>5</v>
      </c>
      <c r="D5825" s="11" t="s">
        <v>1779</v>
      </c>
    </row>
    <row r="5826" spans="1:4" ht="30">
      <c r="A5826" s="5" t="str">
        <f>HYPERLINK("https://www.oit.va.gov/Services/TRM/ToolPage.aspx?tid=6107^","PowerScribe 360 Reporting")</f>
        <v>PowerScribe 360 Reporting</v>
      </c>
      <c r="B5826" s="4" t="s">
        <v>1227</v>
      </c>
      <c r="C5826" s="8" t="s">
        <v>5</v>
      </c>
      <c r="D5826" s="11" t="s">
        <v>1853</v>
      </c>
    </row>
    <row r="5827" spans="1:4" ht="30">
      <c r="A5827" s="5" t="str">
        <f>HYPERLINK("https://www.oit.va.gov/Services/TRM/ToolPage.aspx?tid=6251^","Dragon Medical Network Edition (DMNE)")</f>
        <v>Dragon Medical Network Edition (DMNE)</v>
      </c>
      <c r="B5827" s="4" t="s">
        <v>1227</v>
      </c>
      <c r="C5827" s="8" t="s">
        <v>5</v>
      </c>
      <c r="D5827" s="11" t="s">
        <v>2417</v>
      </c>
    </row>
    <row r="5828" spans="1:4" ht="30">
      <c r="A5828" s="5" t="str">
        <f>HYPERLINK("https://www.oit.va.gov/Services/TRM/ToolPage.aspx?tid=8708^","Dragon Medical One (DMO)")</f>
        <v>Dragon Medical One (DMO)</v>
      </c>
      <c r="B5828" s="4" t="s">
        <v>1227</v>
      </c>
      <c r="C5828" s="8" t="s">
        <v>5</v>
      </c>
      <c r="D5828" s="11" t="s">
        <v>2520</v>
      </c>
    </row>
    <row r="5829" spans="1:4" ht="30">
      <c r="A5829" s="5" t="str">
        <f>HYPERLINK("https://www.oit.va.gov/Services/TRM/ToolPage.aspx?tid=11096^","Nuance Speech Suite")</f>
        <v>Nuance Speech Suite</v>
      </c>
      <c r="B5829" s="4" t="s">
        <v>1227</v>
      </c>
      <c r="C5829" s="8" t="s">
        <v>5</v>
      </c>
      <c r="D5829" s="11" t="s">
        <v>2805</v>
      </c>
    </row>
    <row r="5830" spans="1:4" ht="30">
      <c r="A5830" s="5" t="str">
        <f>HYPERLINK("https://www.oit.va.gov/Services/TRM/ToolPage.aspx?tid=7604^","Nuance Vocalizer")</f>
        <v>Nuance Vocalizer</v>
      </c>
      <c r="B5830" s="4" t="s">
        <v>1227</v>
      </c>
      <c r="C5830" s="8" t="s">
        <v>5</v>
      </c>
      <c r="D5830" s="11" t="s">
        <v>2806</v>
      </c>
    </row>
    <row r="5831" spans="1:4" ht="30">
      <c r="A5831" s="5" t="str">
        <f>HYPERLINK("https://www.oit.va.gov/Services/TRM/ToolPage.aspx?tid=16505^","Dragon Legal")</f>
        <v>Dragon Legal</v>
      </c>
      <c r="B5831" s="4" t="s">
        <v>1227</v>
      </c>
      <c r="C5831" s="8" t="s">
        <v>5</v>
      </c>
      <c r="D5831" s="11" t="s">
        <v>4040</v>
      </c>
    </row>
    <row r="5832" spans="1:4" ht="30">
      <c r="A5832" s="5" t="str">
        <f>HYPERLINK("https://www.oit.va.gov/Services/TRM/ToolPage.aspx?tid=16252^","Dragon Professional Individual")</f>
        <v>Dragon Professional Individual</v>
      </c>
      <c r="B5832" s="4" t="s">
        <v>1227</v>
      </c>
      <c r="C5832" s="8" t="s">
        <v>5</v>
      </c>
      <c r="D5832" s="11" t="s">
        <v>4041</v>
      </c>
    </row>
    <row r="5833" spans="1:4" ht="30">
      <c r="A5833" s="5" t="str">
        <f>HYPERLINK("https://www.oit.va.gov/Services/TRM/ToolPage.aspx?tid=12905^","Dragon Web Extension")</f>
        <v>Dragon Web Extension</v>
      </c>
      <c r="B5833" s="4" t="s">
        <v>1227</v>
      </c>
      <c r="C5833" s="8" t="s">
        <v>5</v>
      </c>
      <c r="D5833" s="11" t="s">
        <v>4002</v>
      </c>
    </row>
    <row r="5834" spans="1:4" ht="30">
      <c r="A5834" s="5" t="str">
        <f>HYPERLINK("https://www.oit.va.gov/Services/TRM/ToolPage.aspx?tid=16822^","ModLink")</f>
        <v>ModLink</v>
      </c>
      <c r="B5834" s="4" t="s">
        <v>1227</v>
      </c>
      <c r="C5834" s="8" t="s">
        <v>5</v>
      </c>
      <c r="D5834" s="11" t="s">
        <v>2444</v>
      </c>
    </row>
    <row r="5835" spans="1:4" ht="30">
      <c r="A5835" s="5" t="str">
        <f>HYPERLINK("https://www.oit.va.gov/Services/TRM/ToolPage.aspx?tid=14110^","Nuance Management Center (NMC) Console")</f>
        <v>Nuance Management Center (NMC) Console</v>
      </c>
      <c r="B5835" s="4" t="s">
        <v>1227</v>
      </c>
      <c r="C5835" s="8" t="s">
        <v>5</v>
      </c>
      <c r="D5835" s="11" t="s">
        <v>3915</v>
      </c>
    </row>
    <row r="5836" spans="1:4" ht="30">
      <c r="A5836" s="5" t="str">
        <f>HYPERLINK("https://www.oit.va.gov/Services/TRM/ToolPage.aspx?tid=16670^","PowerScribe One")</f>
        <v>PowerScribe One</v>
      </c>
      <c r="B5836" s="4" t="s">
        <v>1227</v>
      </c>
      <c r="C5836" s="8" t="s">
        <v>5</v>
      </c>
      <c r="D5836" s="11" t="s">
        <v>4640</v>
      </c>
    </row>
    <row r="5837" spans="1:4" ht="30">
      <c r="A5837" s="5" t="str">
        <f>HYPERLINK("https://www.oit.va.gov/Services/TRM/ToolPage.aspx?tid=16604^","Workflow Orchestrator")</f>
        <v>Workflow Orchestrator</v>
      </c>
      <c r="B5837" s="4" t="s">
        <v>1227</v>
      </c>
      <c r="C5837" s="8" t="s">
        <v>5</v>
      </c>
      <c r="D5837" s="11" t="s">
        <v>5002</v>
      </c>
    </row>
    <row r="5838" spans="1:4" ht="30">
      <c r="A5838" s="5" t="str">
        <f>HYPERLINK("https://www.oit.va.gov/Services/TRM/ToolPage.aspx?tid=5604^","Dictaphone Enterprise Speech System (DESS)")</f>
        <v>Dictaphone Enterprise Speech System (DESS)</v>
      </c>
      <c r="B5838" s="4" t="s">
        <v>1227</v>
      </c>
      <c r="C5838" s="8" t="s">
        <v>5</v>
      </c>
      <c r="D5838" s="11" t="s">
        <v>505</v>
      </c>
    </row>
    <row r="5839" spans="1:4" ht="30">
      <c r="A5839" s="5" t="str">
        <f>HYPERLINK("https://www.oit.va.gov/Services/TRM/ToolPage.aspx?tid=10265^","VA Provider Desktop (VAPD)")</f>
        <v>VA Provider Desktop (VAPD)</v>
      </c>
      <c r="B5839" s="4" t="s">
        <v>1227</v>
      </c>
      <c r="C5839" s="8" t="s">
        <v>5</v>
      </c>
      <c r="D5839" s="11" t="s">
        <v>5564</v>
      </c>
    </row>
    <row r="5840" spans="1:4" ht="30">
      <c r="A5840" s="5" t="str">
        <f>HYPERLINK("https://www.oit.va.gov/Services/TRM/ToolPage.aspx?tid=10338^","Dragon Software Developer Kit (SDK)")</f>
        <v>Dragon Software Developer Kit (SDK)</v>
      </c>
      <c r="B5840" s="4" t="s">
        <v>1227</v>
      </c>
      <c r="C5840" s="8" t="s">
        <v>5</v>
      </c>
      <c r="D5840" s="11" t="s">
        <v>1486</v>
      </c>
    </row>
    <row r="5841" spans="1:4" ht="30">
      <c r="A5841" s="5" t="str">
        <f>HYPERLINK("https://www.oit.va.gov/Services/TRM/ToolPage.aspx?tid=7586^","Nuance Recognizer")</f>
        <v>Nuance Recognizer</v>
      </c>
      <c r="B5841" s="4" t="s">
        <v>1227</v>
      </c>
      <c r="C5841" s="8" t="s">
        <v>5</v>
      </c>
      <c r="D5841" s="11" t="s">
        <v>4502</v>
      </c>
    </row>
    <row r="5842" spans="1:4" ht="30">
      <c r="A5842" s="5" t="str">
        <f>HYPERLINK("https://www.oit.va.gov/Services/TRM/ToolPage.aspx?tid=15356^","Dynamics365.UserInterfaceAutomation.ApplicationProgrammingInterface (Dynamics365.UIAutomation.Api)")</f>
        <v>Dynamics365.UserInterfaceAutomation.ApplicationProgrammingInterface (Dynamics365.UIAutomation.Api)</v>
      </c>
      <c r="B5842" s="4" t="s">
        <v>65</v>
      </c>
      <c r="C5842" s="8" t="s">
        <v>5</v>
      </c>
      <c r="D5842" s="11" t="s">
        <v>66</v>
      </c>
    </row>
    <row r="5843" spans="1:4" ht="30">
      <c r="A5843" s="5" t="str">
        <f>HYPERLINK("https://www.oit.va.gov/Services/TRM/ToolPage.aspx?tid=11748^","Quartz.Net")</f>
        <v>Quartz.Net</v>
      </c>
      <c r="B5843" s="4" t="s">
        <v>65</v>
      </c>
      <c r="C5843" s="8" t="s">
        <v>5</v>
      </c>
      <c r="D5843" s="11" t="s">
        <v>1882</v>
      </c>
    </row>
    <row r="5844" spans="1:4" ht="30">
      <c r="A5844" s="5" t="str">
        <f>HYPERLINK("https://www.oit.va.gov/Services/TRM/ToolPage.aspx?tid=10820^","WebGrease")</f>
        <v>WebGrease</v>
      </c>
      <c r="B5844" s="4" t="s">
        <v>65</v>
      </c>
      <c r="C5844" s="8" t="s">
        <v>5</v>
      </c>
      <c r="D5844" s="11" t="s">
        <v>1491</v>
      </c>
    </row>
    <row r="5845" spans="1:4" ht="30">
      <c r="A5845" s="5" t="str">
        <f>HYPERLINK("https://www.oit.va.gov/Services/TRM/ToolPage.aspx?tid=14958^","SlimDX")</f>
        <v>SlimDX</v>
      </c>
      <c r="B5845" s="4" t="s">
        <v>65</v>
      </c>
      <c r="C5845" s="8" t="s">
        <v>5</v>
      </c>
      <c r="D5845" s="11" t="s">
        <v>8671</v>
      </c>
    </row>
    <row r="5846" spans="1:4" ht="30">
      <c r="A5846" s="5" t="str">
        <f>HYPERLINK("https://www.oit.va.gov/Services/TRM/ToolPage.aspx?tid=16552^","emBODY")</f>
        <v>emBODY</v>
      </c>
      <c r="B5846" s="4" t="s">
        <v>7854</v>
      </c>
      <c r="C5846" s="8" t="s">
        <v>5</v>
      </c>
      <c r="D5846" s="11" t="s">
        <v>3692</v>
      </c>
    </row>
    <row r="5847" spans="1:4" ht="30">
      <c r="A5847" s="5" t="str">
        <f>HYPERLINK("https://www.oit.va.gov/Services/TRM/ToolPage.aspx?tid=6436^","NUnit")</f>
        <v>NUnit</v>
      </c>
      <c r="B5847" s="4" t="s">
        <v>2291</v>
      </c>
      <c r="C5847" s="8" t="s">
        <v>5</v>
      </c>
      <c r="D5847" s="11" t="s">
        <v>804</v>
      </c>
    </row>
    <row r="5848" spans="1:4" ht="30">
      <c r="A5848" s="5" t="str">
        <f>HYPERLINK("https://www.oit.va.gov/Services/TRM/ToolPage.aspx?tid=14155^","TidyTabs")</f>
        <v>TidyTabs</v>
      </c>
      <c r="B5848" s="4" t="s">
        <v>7229</v>
      </c>
      <c r="C5848" s="8" t="s">
        <v>5</v>
      </c>
      <c r="D5848" s="11" t="s">
        <v>7230</v>
      </c>
    </row>
    <row r="5849" spans="1:4" ht="30">
      <c r="A5849" s="5" t="str">
        <f>HYPERLINK("https://www.oit.va.gov/Services/TRM/ToolPage.aspx?tid=14814^","Acropolis Hypervisor (AHV)")</f>
        <v>Acropolis Hypervisor (AHV)</v>
      </c>
      <c r="B5849" s="4" t="s">
        <v>1274</v>
      </c>
      <c r="C5849" s="8" t="s">
        <v>5</v>
      </c>
      <c r="D5849" s="11" t="s">
        <v>1275</v>
      </c>
    </row>
    <row r="5850" spans="1:4" ht="30">
      <c r="A5850" s="5" t="str">
        <f>HYPERLINK("https://www.oit.va.gov/Services/TRM/ToolPage.aspx?tid=14715^","Acropolis Operating System (AOS)")</f>
        <v>Acropolis Operating System (AOS)</v>
      </c>
      <c r="B5850" s="4" t="s">
        <v>1274</v>
      </c>
      <c r="C5850" s="8" t="s">
        <v>5</v>
      </c>
      <c r="D5850" s="11" t="s">
        <v>1276</v>
      </c>
    </row>
    <row r="5851" spans="1:4" ht="30">
      <c r="A5851" s="5" t="str">
        <f>HYPERLINK("https://www.oit.va.gov/Services/TRM/ToolPage.aspx?tid=13407^","NuTrace R+ Two Dimensional (2D) Surgiscan")</f>
        <v>NuTrace R+ Two Dimensional (2D) Surgiscan</v>
      </c>
      <c r="B5851" s="4" t="s">
        <v>5973</v>
      </c>
      <c r="C5851" s="8" t="s">
        <v>5</v>
      </c>
      <c r="D5851" s="11" t="s">
        <v>5974</v>
      </c>
    </row>
    <row r="5852" spans="1:4" ht="30">
      <c r="A5852" s="5" t="str">
        <f>HYPERLINK("https://www.oit.va.gov/Services/TRM/ToolPage.aspx?tid=11082^","NetSurveyor")</f>
        <v>NetSurveyor</v>
      </c>
      <c r="B5852" s="4" t="s">
        <v>8328</v>
      </c>
      <c r="C5852" s="8" t="s">
        <v>5</v>
      </c>
      <c r="D5852" s="11" t="s">
        <v>8110</v>
      </c>
    </row>
    <row r="5853" spans="1:4" ht="30">
      <c r="A5853" s="5" t="str">
        <f>HYPERLINK("https://www.oit.va.gov/Services/TRM/ToolPage.aspx?tid=9535^","NVDA (NonVisual Desktop Access)")</f>
        <v>NVDA (NonVisual Desktop Access)</v>
      </c>
      <c r="B5853" s="4" t="s">
        <v>2810</v>
      </c>
      <c r="C5853" s="8" t="s">
        <v>5</v>
      </c>
      <c r="D5853" s="11" t="s">
        <v>737</v>
      </c>
    </row>
    <row r="5854" spans="1:4" ht="30">
      <c r="A5854" s="5" t="str">
        <f>HYPERLINK("https://www.oit.va.gov/Services/TRM/ToolPage.aspx?tid=8747^","Node Version Manager (NVM)-Global")</f>
        <v>Node Version Manager (NVM)-Global</v>
      </c>
      <c r="B5854" s="4" t="s">
        <v>2810</v>
      </c>
      <c r="C5854" s="8" t="s">
        <v>5</v>
      </c>
      <c r="D5854" s="11" t="s">
        <v>1010</v>
      </c>
    </row>
    <row r="5855" spans="1:4" ht="30">
      <c r="A5855" s="5" t="str">
        <f>HYPERLINK("https://www.oit.va.gov/Services/TRM/ToolPage.aspx?tid=15635^","MapMasq")</f>
        <v>MapMasq</v>
      </c>
      <c r="B5855" s="4" t="s">
        <v>6820</v>
      </c>
      <c r="C5855" s="8" t="s">
        <v>5</v>
      </c>
      <c r="D5855" s="11" t="s">
        <v>6821</v>
      </c>
    </row>
    <row r="5856" spans="1:4" ht="30">
      <c r="A5856" s="5" t="str">
        <f>HYPERLINK("https://www.oit.va.gov/Services/TRM/ToolPage.aspx?tid=15198^","NVIDIA GeForce Experience")</f>
        <v>NVIDIA GeForce Experience</v>
      </c>
      <c r="B5856" s="4" t="s">
        <v>3420</v>
      </c>
      <c r="C5856" s="8" t="s">
        <v>5</v>
      </c>
      <c r="D5856" s="11" t="s">
        <v>3067</v>
      </c>
    </row>
    <row r="5857" spans="1:4" ht="30">
      <c r="A5857" s="5" t="str">
        <f>HYPERLINK("https://www.oit.va.gov/Services/TRM/ToolPage.aspx?tid=16257^","NVIDIA NSight Compute")</f>
        <v>NVIDIA NSight Compute</v>
      </c>
      <c r="B5857" s="4" t="s">
        <v>3420</v>
      </c>
      <c r="C5857" s="8" t="s">
        <v>5</v>
      </c>
      <c r="D5857" s="11" t="s">
        <v>3421</v>
      </c>
    </row>
    <row r="5858" spans="1:4" ht="30">
      <c r="A5858" s="5" t="str">
        <f>HYPERLINK("https://www.oit.va.gov/Services/TRM/ToolPage.aspx?tid=16258^","NVIDIA Nsight Systems")</f>
        <v>NVIDIA Nsight Systems</v>
      </c>
      <c r="B5858" s="4" t="s">
        <v>3420</v>
      </c>
      <c r="C5858" s="8" t="s">
        <v>5</v>
      </c>
      <c r="D5858" s="11" t="s">
        <v>3422</v>
      </c>
    </row>
    <row r="5859" spans="1:4" ht="30">
      <c r="A5859" s="5" t="str">
        <f>HYPERLINK("https://www.oit.va.gov/Services/TRM/ToolPage.aspx?tid=16268^","NVIDIA NSight Visual Studio Edition")</f>
        <v>NVIDIA NSight Visual Studio Edition</v>
      </c>
      <c r="B5859" s="4" t="s">
        <v>3420</v>
      </c>
      <c r="C5859" s="8" t="s">
        <v>5</v>
      </c>
      <c r="D5859" s="11" t="s">
        <v>985</v>
      </c>
    </row>
    <row r="5860" spans="1:4" ht="30">
      <c r="A5860" s="5" t="str">
        <f>HYPERLINK("https://www.oit.va.gov/Services/TRM/ToolPage.aspx?tid=16280^","NVIDIA NSight Graphics")</f>
        <v>NVIDIA NSight Graphics</v>
      </c>
      <c r="B5860" s="4" t="s">
        <v>3420</v>
      </c>
      <c r="C5860" s="8" t="s">
        <v>5</v>
      </c>
      <c r="D5860" s="11" t="s">
        <v>985</v>
      </c>
    </row>
    <row r="5861" spans="1:4" ht="30">
      <c r="A5861" s="5" t="str">
        <f>HYPERLINK("https://www.oit.va.gov/Services/TRM/ToolPage.aspx?tid=16270^","NVIDIA Shadowplay")</f>
        <v>NVIDIA Shadowplay</v>
      </c>
      <c r="B5861" s="4" t="s">
        <v>3420</v>
      </c>
      <c r="C5861" s="8" t="s">
        <v>5</v>
      </c>
      <c r="D5861" s="11" t="s">
        <v>4521</v>
      </c>
    </row>
    <row r="5862" spans="1:4" ht="30">
      <c r="A5862" s="5" t="str">
        <f>HYPERLINK("https://www.oit.va.gov/Services/TRM/ToolPage.aspx?tid=15988^","Clara Training Framework")</f>
        <v>Clara Training Framework</v>
      </c>
      <c r="B5862" s="4" t="s">
        <v>3420</v>
      </c>
      <c r="C5862" s="8" t="s">
        <v>5</v>
      </c>
      <c r="D5862" s="11" t="s">
        <v>6416</v>
      </c>
    </row>
    <row r="5863" spans="1:4" ht="30">
      <c r="A5863" s="5" t="str">
        <f>HYPERLINK("https://www.oit.va.gov/Services/TRM/ToolPage.aspx?tid=11124^","Compute Unified Device Architecture (CUDA)")</f>
        <v>Compute Unified Device Architecture (CUDA)</v>
      </c>
      <c r="B5863" s="4" t="s">
        <v>3420</v>
      </c>
      <c r="C5863" s="8" t="s">
        <v>5</v>
      </c>
      <c r="D5863" s="11" t="s">
        <v>6450</v>
      </c>
    </row>
    <row r="5864" spans="1:4" ht="30">
      <c r="A5864" s="5" t="str">
        <f>HYPERLINK("https://www.oit.va.gov/Services/TRM/ToolPage.aspx?tid=10866^","CUDA Deep Neural Network (cuDNN)")</f>
        <v>CUDA Deep Neural Network (cuDNN)</v>
      </c>
      <c r="B5864" s="4" t="s">
        <v>3420</v>
      </c>
      <c r="C5864" s="8" t="s">
        <v>5</v>
      </c>
      <c r="D5864" s="11" t="s">
        <v>6473</v>
      </c>
    </row>
    <row r="5865" spans="1:4" ht="30">
      <c r="A5865" s="5" t="str">
        <f>HYPERLINK("https://www.oit.va.gov/Services/TRM/ToolPage.aspx?tid=16423^","NVIDIA Compute Unified Device Architecture (CUDA) Profiling Tools Interface (CUPTI)")</f>
        <v>NVIDIA Compute Unified Device Architecture (CUDA) Profiling Tools Interface (CUPTI)</v>
      </c>
      <c r="B5865" s="4" t="s">
        <v>3420</v>
      </c>
      <c r="C5865" s="8" t="s">
        <v>5</v>
      </c>
      <c r="D5865" s="11" t="s">
        <v>4747</v>
      </c>
    </row>
    <row r="5866" spans="1:4" ht="30">
      <c r="A5866" s="5" t="str">
        <f>HYPERLINK("https://www.oit.va.gov/Services/TRM/ToolPage.aspx?tid=15498^","NVIDIA Control Panel")</f>
        <v>NVIDIA Control Panel</v>
      </c>
      <c r="B5866" s="4" t="s">
        <v>3420</v>
      </c>
      <c r="C5866" s="8" t="s">
        <v>5</v>
      </c>
      <c r="D5866" s="11" t="s">
        <v>6951</v>
      </c>
    </row>
    <row r="5867" spans="1:4" ht="30">
      <c r="A5867" s="5" t="str">
        <f>HYPERLINK("https://www.oit.va.gov/Services/TRM/ToolPage.aspx?tid=13782^","NVIDIA GRID Virtual PC (GRID vPC)")</f>
        <v>NVIDIA GRID Virtual PC (GRID vPC)</v>
      </c>
      <c r="B5867" s="4" t="s">
        <v>3420</v>
      </c>
      <c r="C5867" s="8" t="s">
        <v>5</v>
      </c>
      <c r="D5867" s="11" t="s">
        <v>6952</v>
      </c>
    </row>
    <row r="5868" spans="1:4" ht="30">
      <c r="A5868" s="5" t="str">
        <f>HYPERLINK("https://www.oit.va.gov/Services/TRM/ToolPage.aspx?tid=10413^","NVIDIA RTX Desktop Manager")</f>
        <v>NVIDIA RTX Desktop Manager</v>
      </c>
      <c r="B5868" s="4" t="s">
        <v>3420</v>
      </c>
      <c r="C5868" s="8" t="s">
        <v>5</v>
      </c>
      <c r="D5868" s="11" t="s">
        <v>135</v>
      </c>
    </row>
    <row r="5869" spans="1:4" ht="30">
      <c r="A5869" s="5" t="str">
        <f>HYPERLINK("https://www.oit.va.gov/Services/TRM/ToolPage.aspx?tid=13591^","Mental Ray")</f>
        <v>Mental Ray</v>
      </c>
      <c r="B5869" s="4" t="s">
        <v>3420</v>
      </c>
      <c r="C5869" s="8" t="s">
        <v>5</v>
      </c>
      <c r="D5869" s="11" t="s">
        <v>6914</v>
      </c>
    </row>
    <row r="5870" spans="1:4" ht="30">
      <c r="A5870" s="5" t="str">
        <f>HYPERLINK("https://www.oit.va.gov/Services/TRM/ToolPage.aspx?tid=10451^","PhysX")</f>
        <v>PhysX</v>
      </c>
      <c r="B5870" s="4" t="s">
        <v>3420</v>
      </c>
      <c r="C5870" s="8" t="s">
        <v>5</v>
      </c>
      <c r="D5870" s="11" t="s">
        <v>4872</v>
      </c>
    </row>
    <row r="5871" spans="1:4" ht="30">
      <c r="A5871" s="5" t="str">
        <f>HYPERLINK("https://www.oit.va.gov/Services/TRM/ToolPage.aspx?tid=10499^","NXLog")</f>
        <v>NXLog</v>
      </c>
      <c r="B5871" s="4" t="s">
        <v>2811</v>
      </c>
      <c r="C5871" s="8" t="s">
        <v>5</v>
      </c>
      <c r="D5871" s="11" t="s">
        <v>2812</v>
      </c>
    </row>
    <row r="5872" spans="1:4" ht="30">
      <c r="A5872" s="5" t="str">
        <f>HYPERLINK("https://www.oit.va.gov/Services/TRM/ToolPage.aspx?tid=10472^","Diconymizer")</f>
        <v>Diconymizer</v>
      </c>
      <c r="B5872" s="4" t="s">
        <v>3250</v>
      </c>
      <c r="C5872" s="8" t="s">
        <v>5</v>
      </c>
      <c r="D5872" s="11" t="s">
        <v>3251</v>
      </c>
    </row>
    <row r="5873" spans="1:4" ht="30">
      <c r="A5873" s="5" t="str">
        <f>HYPERLINK("https://www.oit.va.gov/Services/TRM/StandardPage.aspx?tid=5206^","E-business Extensible Markup Language (ebXML) Messaging Services (ebMS)")</f>
        <v>E-business Extensible Markup Language (ebXML) Messaging Services (ebMS)</v>
      </c>
      <c r="B5873" s="4" t="s">
        <v>126</v>
      </c>
      <c r="C5873" s="8" t="s">
        <v>5</v>
      </c>
      <c r="D5873" s="11" t="s">
        <v>127</v>
      </c>
    </row>
    <row r="5874" spans="1:4" ht="30">
      <c r="A5874" s="5" t="str">
        <f>HYPERLINK("https://www.oit.va.gov/Services/TRM/StandardPage.aspx?tid=5146^","Web Services (WS)-Security")</f>
        <v>Web Services (WS)-Security</v>
      </c>
      <c r="B5874" s="4" t="s">
        <v>126</v>
      </c>
      <c r="C5874" s="8" t="s">
        <v>5</v>
      </c>
      <c r="D5874" s="11" t="s">
        <v>1255</v>
      </c>
    </row>
    <row r="5875" spans="1:4" ht="30">
      <c r="A5875" s="5" t="str">
        <f>HYPERLINK("https://www.oit.va.gov/Services/TRM/StandardPage.aspx?tid=5142^","Universal Description, Discovery, and Integration (UDDI)")</f>
        <v>Universal Description, Discovery, and Integration (UDDI)</v>
      </c>
      <c r="B5875" s="4" t="s">
        <v>126</v>
      </c>
      <c r="C5875" s="8" t="s">
        <v>5</v>
      </c>
      <c r="D5875" s="11" t="s">
        <v>3597</v>
      </c>
    </row>
    <row r="5876" spans="1:4" ht="30">
      <c r="A5876" s="5" t="str">
        <f>HYPERLINK("https://www.oit.va.gov/Services/TRM/StandardPage.aspx?tid=12977^","Advanced Message Queuing Protocol (AMQP)")</f>
        <v>Advanced Message Queuing Protocol (AMQP)</v>
      </c>
      <c r="B5876" s="4" t="s">
        <v>126</v>
      </c>
      <c r="C5876" s="8" t="s">
        <v>5</v>
      </c>
      <c r="D5876" s="11" t="s">
        <v>3560</v>
      </c>
    </row>
    <row r="5877" spans="1:4" ht="30">
      <c r="A5877" s="5" t="str">
        <f>HYPERLINK("https://www.oit.va.gov/Services/TRM/StandardPage.aspx?tid=5207^","E-business Extensible Markup Language (ebXML) Collaboration Protocol Profile and Agreement (ebCPPA)")</f>
        <v>E-business Extensible Markup Language (ebXML) Collaboration Protocol Profile and Agreement (ebCPPA)</v>
      </c>
      <c r="B5877" s="4" t="s">
        <v>126</v>
      </c>
      <c r="C5877" s="8" t="s">
        <v>5</v>
      </c>
      <c r="D5877" s="11" t="s">
        <v>5161</v>
      </c>
    </row>
    <row r="5878" spans="1:4" ht="30">
      <c r="A5878" s="5" t="str">
        <f>HYPERLINK("https://www.oit.va.gov/Services/TRM/StandardPage.aspx?tid=5436^","E-business Extensible Markup Language (ebXML) Registry Information Model Specification (ebRIM)")</f>
        <v>E-business Extensible Markup Language (ebXML) Registry Information Model Specification (ebRIM)</v>
      </c>
      <c r="B5878" s="4" t="s">
        <v>126</v>
      </c>
      <c r="C5878" s="8" t="s">
        <v>5</v>
      </c>
      <c r="D5878" s="11" t="s">
        <v>5162</v>
      </c>
    </row>
    <row r="5879" spans="1:4" ht="30">
      <c r="A5879" s="5" t="str">
        <f>HYPERLINK("https://www.oit.va.gov/Services/TRM/StandardPage.aspx?tid=5298^","eXtensible Access Control Markup Language (XACML)")</f>
        <v>eXtensible Access Control Markup Language (XACML)</v>
      </c>
      <c r="B5879" s="4" t="s">
        <v>126</v>
      </c>
      <c r="C5879" s="8" t="s">
        <v>5</v>
      </c>
      <c r="D5879" s="11" t="s">
        <v>5192</v>
      </c>
    </row>
    <row r="5880" spans="1:4" ht="30">
      <c r="A5880" s="5" t="str">
        <f>HYPERLINK("https://www.oit.va.gov/Services/TRM/StandardPage.aspx?tid=12995^","Unstructured Information Management Architecture (UIMA)")</f>
        <v>Unstructured Information Management Architecture (UIMA)</v>
      </c>
      <c r="B5880" s="4" t="s">
        <v>126</v>
      </c>
      <c r="C5880" s="8" t="s">
        <v>5</v>
      </c>
      <c r="D5880" s="11" t="s">
        <v>7276</v>
      </c>
    </row>
    <row r="5881" spans="1:4" ht="30">
      <c r="A5881" s="5" t="str">
        <f>HYPERLINK("https://www.oit.va.gov/Services/TRM/StandardPage.aspx?tid=5797^","Service Provisioning Markup Language (SPML)")</f>
        <v>Service Provisioning Markup Language (SPML)</v>
      </c>
      <c r="B5881" s="4" t="s">
        <v>126</v>
      </c>
      <c r="C5881" s="8" t="s">
        <v>5</v>
      </c>
      <c r="D5881" s="11" t="s">
        <v>2825</v>
      </c>
    </row>
    <row r="5882" spans="1:4" ht="30">
      <c r="A5882" s="5" t="str">
        <f>HYPERLINK("https://www.oit.va.gov/Services/TRM/StandardPage.aspx?tid=5144^","Web Services (WS)-Reliable Messaging")</f>
        <v>Web Services (WS)-Reliable Messaging</v>
      </c>
      <c r="B5882" s="4" t="s">
        <v>126</v>
      </c>
      <c r="C5882" s="8" t="s">
        <v>5</v>
      </c>
      <c r="D5882" s="11" t="s">
        <v>3479</v>
      </c>
    </row>
    <row r="5883" spans="1:4" ht="30">
      <c r="A5883" s="5" t="str">
        <f>HYPERLINK("https://www.oit.va.gov/Services/TRM/StandardPage.aspx?tid=5854^","Web Services for Remote Portlets (WSRP)")</f>
        <v>Web Services for Remote Portlets (WSRP)</v>
      </c>
      <c r="B5883" s="4" t="s">
        <v>126</v>
      </c>
      <c r="C5883" s="8" t="s">
        <v>5</v>
      </c>
      <c r="D5883" s="11" t="s">
        <v>288</v>
      </c>
    </row>
    <row r="5884" spans="1:4" ht="30">
      <c r="A5884" s="5" t="str">
        <f>HYPERLINK("https://www.oit.va.gov/Services/TRM/StandardPage.aspx?tid=5159^","Web Services-Interoperability (WS-I) Basic Profile (BP)")</f>
        <v>Web Services-Interoperability (WS-I) Basic Profile (BP)</v>
      </c>
      <c r="B5884" s="4" t="s">
        <v>126</v>
      </c>
      <c r="C5884" s="8" t="s">
        <v>5</v>
      </c>
      <c r="D5884" s="11" t="s">
        <v>1255</v>
      </c>
    </row>
    <row r="5885" spans="1:4" ht="30">
      <c r="A5885" s="5" t="str">
        <f>HYPERLINK("https://www.oit.va.gov/Services/TRM/StandardPage.aspx?tid=9644^","WS-SecurityPolicy")</f>
        <v>WS-SecurityPolicy</v>
      </c>
      <c r="B5885" s="4" t="s">
        <v>126</v>
      </c>
      <c r="C5885" s="8" t="s">
        <v>5</v>
      </c>
      <c r="D5885" s="11" t="s">
        <v>8960</v>
      </c>
    </row>
    <row r="5886" spans="1:4" ht="30">
      <c r="A5886" s="5" t="str">
        <f>HYPERLINK("https://www.oit.va.gov/Services/TRM/StandardPage.aspx?tid=9727^","WS-Trust")</f>
        <v>WS-Trust</v>
      </c>
      <c r="B5886" s="4" t="s">
        <v>126</v>
      </c>
      <c r="C5886" s="8" t="s">
        <v>5</v>
      </c>
      <c r="D5886" s="11" t="s">
        <v>8961</v>
      </c>
    </row>
    <row r="5887" spans="1:4" ht="30">
      <c r="A5887" s="5" t="str">
        <f>HYPERLINK("https://www.oit.va.gov/Services/TRM/StandardPage.aspx?tid=5806^","Web Service (WS)-BaseNotification")</f>
        <v>Web Service (WS)-BaseNotification</v>
      </c>
      <c r="B5887" s="4" t="s">
        <v>5590</v>
      </c>
      <c r="C5887" s="8" t="s">
        <v>5</v>
      </c>
      <c r="D5887" s="11" t="s">
        <v>5591</v>
      </c>
    </row>
    <row r="5888" spans="1:4" ht="30">
      <c r="A5888" s="5" t="str">
        <f>HYPERLINK("https://www.oit.va.gov/Services/TRM/ToolPage.aspx?tid=13087^","Opal")</f>
        <v>Opal</v>
      </c>
      <c r="B5888" s="4" t="s">
        <v>4545</v>
      </c>
      <c r="C5888" s="8" t="s">
        <v>5</v>
      </c>
      <c r="D5888" s="11" t="s">
        <v>4546</v>
      </c>
    </row>
    <row r="5889" spans="1:4" ht="30">
      <c r="A5889" s="5" t="str">
        <f>HYPERLINK("https://www.oit.va.gov/Services/TRM/ToolPage.aspx?tid=13761^","PrintShop Mail Suite")</f>
        <v>PrintShop Mail Suite</v>
      </c>
      <c r="B5889" s="4" t="s">
        <v>4652</v>
      </c>
      <c r="C5889" s="8" t="s">
        <v>5</v>
      </c>
      <c r="D5889" s="11" t="s">
        <v>4653</v>
      </c>
    </row>
    <row r="5890" spans="1:4" ht="30">
      <c r="A5890" s="5" t="str">
        <f>HYPERLINK("https://www.oit.va.gov/Services/TRM/ToolPage.aspx?tid=8749^","Objectivity/Database (DB)")</f>
        <v>Objectivity/Database (DB)</v>
      </c>
      <c r="B5890" s="4" t="s">
        <v>6953</v>
      </c>
      <c r="C5890" s="8" t="s">
        <v>5</v>
      </c>
      <c r="D5890" s="11" t="s">
        <v>6954</v>
      </c>
    </row>
    <row r="5891" spans="1:4" ht="30">
      <c r="A5891" s="5" t="str">
        <f>HYPERLINK("https://www.oit.va.gov/Services/TRM/ToolPage.aspx?tid=14573^","Oblong Mezzanine")</f>
        <v>Oblong Mezzanine</v>
      </c>
      <c r="B5891" s="4" t="s">
        <v>8351</v>
      </c>
      <c r="C5891" s="8" t="s">
        <v>5</v>
      </c>
      <c r="D5891" s="11" t="s">
        <v>8352</v>
      </c>
    </row>
    <row r="5892" spans="1:4" ht="30">
      <c r="A5892" s="5" t="str">
        <f>HYPERLINK("https://www.oit.va.gov/Services/TRM/ToolPage.aspx?tid=10661^","Open Broadcaster Software (OBS) Studio")</f>
        <v>Open Broadcaster Software (OBS) Studio</v>
      </c>
      <c r="B5892" s="4" t="s">
        <v>4547</v>
      </c>
      <c r="C5892" s="8" t="s">
        <v>5</v>
      </c>
      <c r="D5892" s="11" t="s">
        <v>4132</v>
      </c>
    </row>
    <row r="5893" spans="1:4" ht="30">
      <c r="A5893" s="5" t="str">
        <f>HYPERLINK("https://www.oit.va.gov/Services/TRM/ToolPage.aspx?tid=16808^","OBSBOT Center")</f>
        <v>OBSBOT Center</v>
      </c>
      <c r="B5893" s="4" t="s">
        <v>5386</v>
      </c>
      <c r="C5893" s="8" t="s">
        <v>5</v>
      </c>
      <c r="D5893" s="11" t="s">
        <v>5387</v>
      </c>
    </row>
    <row r="5894" spans="1:4" ht="30">
      <c r="A5894" s="5" t="str">
        <f>HYPERLINK("https://www.oit.va.gov/Services/TRM/ToolPage.aspx?tid=8718^","Automated Characterization of Health Information at Large-scale Longitudinal Evidence Systems (ACHILLES)")</f>
        <v>Automated Characterization of Health Information at Large-scale Longitudinal Evidence Systems (ACHILLES)</v>
      </c>
      <c r="B5894" s="4" t="s">
        <v>1327</v>
      </c>
      <c r="C5894" s="8" t="s">
        <v>5</v>
      </c>
      <c r="D5894" s="11" t="s">
        <v>1328</v>
      </c>
    </row>
    <row r="5895" spans="1:4" ht="30">
      <c r="A5895" s="5" t="str">
        <f>HYPERLINK("https://www.oit.va.gov/Services/TRM/ToolPage.aspx?tid=9488^","WhiteRabbit")</f>
        <v>WhiteRabbit</v>
      </c>
      <c r="B5895" s="4" t="s">
        <v>1327</v>
      </c>
      <c r="C5895" s="8" t="s">
        <v>5</v>
      </c>
      <c r="D5895" s="11" t="s">
        <v>3083</v>
      </c>
    </row>
    <row r="5896" spans="1:4" ht="30">
      <c r="A5896" s="5" t="str">
        <f>HYPERLINK("https://www.oit.va.gov/Services/TRM/ToolPage.aspx?tid=9441^","Health Enterprise Resource And Care Learning Exploration System (HERACLES)")</f>
        <v>Health Enterprise Resource And Care Learning Exploration System (HERACLES)</v>
      </c>
      <c r="B5896" s="4" t="s">
        <v>1327</v>
      </c>
      <c r="C5896" s="8" t="s">
        <v>5</v>
      </c>
      <c r="D5896" s="11" t="s">
        <v>3321</v>
      </c>
    </row>
    <row r="5897" spans="1:4" ht="30">
      <c r="A5897" s="5" t="str">
        <f>HYPERLINK("https://www.oit.va.gov/Services/TRM/ToolPage.aspx?tid=8399^","Observational Health Data Sciences and Informatics (OHDSI) WebAPI")</f>
        <v>Observational Health Data Sciences and Informatics (OHDSI) WebAPI</v>
      </c>
      <c r="B5897" s="4" t="s">
        <v>1327</v>
      </c>
      <c r="C5897" s="8" t="s">
        <v>5</v>
      </c>
      <c r="D5897" s="11" t="s">
        <v>895</v>
      </c>
    </row>
    <row r="5898" spans="1:4" ht="30">
      <c r="A5898" s="5" t="str">
        <f>HYPERLINK("https://www.oit.va.gov/Services/TRM/ToolPage.aspx?tid=6682^","Advanced Temporal Language Aided Search (ATLAS)")</f>
        <v>Advanced Temporal Language Aided Search (ATLAS)</v>
      </c>
      <c r="B5898" s="4" t="s">
        <v>1327</v>
      </c>
      <c r="C5898" s="8" t="s">
        <v>5</v>
      </c>
      <c r="D5898" s="11" t="s">
        <v>5617</v>
      </c>
    </row>
    <row r="5899" spans="1:4" ht="30">
      <c r="A5899" s="5" t="str">
        <f>HYPERLINK("https://www.oit.va.gov/Services/TRM/ToolPage.aspx?tid=9148^","CohortMethod")</f>
        <v>CohortMethod</v>
      </c>
      <c r="B5899" s="4" t="s">
        <v>1327</v>
      </c>
      <c r="C5899" s="8" t="s">
        <v>5</v>
      </c>
      <c r="D5899" s="11" t="s">
        <v>2420</v>
      </c>
    </row>
    <row r="5900" spans="1:4" ht="30">
      <c r="A5900" s="5" t="str">
        <f>HYPERLINK("https://www.oit.va.gov/Services/TRM/ToolPage.aspx?tid=9264^","Health Entity Relationship and Metadata Exploration System (HERMES)")</f>
        <v>Health Entity Relationship and Metadata Exploration System (HERMES)</v>
      </c>
      <c r="B5900" s="4" t="s">
        <v>1327</v>
      </c>
      <c r="C5900" s="8" t="s">
        <v>5</v>
      </c>
      <c r="D5900" s="11" t="s">
        <v>6686</v>
      </c>
    </row>
    <row r="5901" spans="1:4" ht="45">
      <c r="A5901" s="5" t="str">
        <f>HYPERLINK("https://www.oit.va.gov/Services/TRM/ToolPage.aspx?tid=9311^","Observational Health Data Sciences and Informatics (OHDSI) Loaded on Your Machines to Perform Ultimate Science (OLYMPUS)")</f>
        <v>Observational Health Data Sciences and Informatics (OHDSI) Loaded on Your Machines to Perform Ultimate Science (OLYMPUS)</v>
      </c>
      <c r="B5901" s="4" t="s">
        <v>1327</v>
      </c>
      <c r="C5901" s="8" t="s">
        <v>5</v>
      </c>
      <c r="D5901" s="11" t="s">
        <v>6955</v>
      </c>
    </row>
    <row r="5902" spans="1:4" ht="30">
      <c r="A5902" s="5" t="str">
        <f>HYPERLINK("https://www.oit.va.gov/Services/TRM/ToolPage.aspx?tid=16483^","Obsidian Notes")</f>
        <v>Obsidian Notes</v>
      </c>
      <c r="B5902" s="4" t="s">
        <v>4524</v>
      </c>
      <c r="C5902" s="8" t="s">
        <v>5</v>
      </c>
      <c r="D5902" s="11" t="s">
        <v>4525</v>
      </c>
    </row>
    <row r="5903" spans="1:4" ht="30">
      <c r="A5903" s="5" t="str">
        <f>HYPERLINK("https://www.oit.va.gov/Services/TRM/ToolPage.aspx?tid=14998^","Skanect")</f>
        <v>Skanect</v>
      </c>
      <c r="B5903" s="4" t="s">
        <v>8664</v>
      </c>
      <c r="C5903" s="8" t="s">
        <v>5</v>
      </c>
      <c r="D5903" s="11" t="s">
        <v>256</v>
      </c>
    </row>
    <row r="5904" spans="1:4" ht="30">
      <c r="A5904" s="5" t="str">
        <f>HYPERLINK("https://www.oit.va.gov/Services/TRM/ToolPage.aspx?tid=8515^","MediTrax")</f>
        <v>MediTrax</v>
      </c>
      <c r="B5904" s="4" t="s">
        <v>4400</v>
      </c>
      <c r="C5904" s="8" t="s">
        <v>5</v>
      </c>
      <c r="D5904" s="11" t="s">
        <v>4401</v>
      </c>
    </row>
    <row r="5905" spans="1:4" ht="30">
      <c r="A5905" s="5" t="str">
        <f>HYPERLINK("https://www.oit.va.gov/Services/TRM/ToolPage.aspx?tid=6086^","OCS Inventory NG Agent")</f>
        <v>OCS Inventory NG Agent</v>
      </c>
      <c r="B5905" s="4" t="s">
        <v>8354</v>
      </c>
      <c r="C5905" s="8" t="s">
        <v>5</v>
      </c>
      <c r="D5905" s="11" t="s">
        <v>8355</v>
      </c>
    </row>
    <row r="5906" spans="1:4" ht="30">
      <c r="A5906" s="5" t="str">
        <f>HYPERLINK("https://www.oit.va.gov/Services/TRM/ToolPage.aspx?tid=7084^","Octopus Deploy")</f>
        <v>Octopus Deploy</v>
      </c>
      <c r="B5906" s="4" t="s">
        <v>1783</v>
      </c>
      <c r="C5906" s="8" t="s">
        <v>5</v>
      </c>
      <c r="D5906" s="11" t="s">
        <v>282</v>
      </c>
    </row>
    <row r="5907" spans="1:4" ht="30">
      <c r="A5907" s="5" t="str">
        <f>HYPERLINK("https://www.oit.va.gov/Services/TRM/ToolPage.aspx?tid=14843^","Innovations Lab Management Software (LMS) Solution")</f>
        <v>Innovations Lab Management Software (LMS) Solution</v>
      </c>
      <c r="B5907" s="4" t="s">
        <v>6713</v>
      </c>
      <c r="C5907" s="8" t="s">
        <v>5</v>
      </c>
      <c r="D5907" s="11" t="s">
        <v>6714</v>
      </c>
    </row>
    <row r="5908" spans="1:4" ht="30">
      <c r="A5908" s="5" t="str">
        <f>HYPERLINK("https://www.oit.va.gov/Services/TRM/ToolPage.aspx?tid=14739^","Free Form Lens Design Software (LDS)")</f>
        <v>Free Form Lens Design Software (LDS)</v>
      </c>
      <c r="B5908" s="4" t="s">
        <v>6713</v>
      </c>
      <c r="C5908" s="8" t="s">
        <v>5</v>
      </c>
      <c r="D5908" s="11" t="s">
        <v>7948</v>
      </c>
    </row>
    <row r="5909" spans="1:4" ht="30">
      <c r="A5909" s="5" t="str">
        <f>HYPERLINK("https://www.oit.va.gov/Services/TRM/ToolPage.aspx?tid=14711^","Innovations")</f>
        <v>Innovations</v>
      </c>
      <c r="B5909" s="4" t="s">
        <v>6713</v>
      </c>
      <c r="C5909" s="8" t="s">
        <v>5</v>
      </c>
      <c r="D5909" s="11" t="s">
        <v>6363</v>
      </c>
    </row>
    <row r="5910" spans="1:4" ht="30">
      <c r="A5910" s="5" t="str">
        <f>HYPERLINK("https://www.oit.va.gov/Services/TRM/ToolPage.aspx?tid=13260^","Pentacam Software")</f>
        <v>Pentacam Software</v>
      </c>
      <c r="B5910" s="4" t="s">
        <v>5994</v>
      </c>
      <c r="C5910" s="8" t="s">
        <v>5</v>
      </c>
      <c r="D5910" s="11" t="s">
        <v>4581</v>
      </c>
    </row>
    <row r="5911" spans="1:4" ht="30">
      <c r="A5911" s="5" t="str">
        <f>HYPERLINK("https://www.oit.va.gov/Services/TRM/ToolPage.aspx?tid=8530^","Office Timeline")</f>
        <v>Office Timeline</v>
      </c>
      <c r="B5911" s="4" t="s">
        <v>2819</v>
      </c>
      <c r="C5911" s="8" t="s">
        <v>5</v>
      </c>
      <c r="D5911" s="11" t="s">
        <v>2820</v>
      </c>
    </row>
    <row r="5912" spans="1:4" ht="30">
      <c r="A5912" s="5" t="str">
        <f>HYPERLINK("https://www.oit.va.gov/Services/TRM/ToolPage.aspx?tid=7029^","Office Convert PDF to JPG JPEG TIFF Free")</f>
        <v>Office Convert PDF to JPG JPEG TIFF Free</v>
      </c>
      <c r="B5912" s="4" t="s">
        <v>5389</v>
      </c>
      <c r="C5912" s="8" t="s">
        <v>5</v>
      </c>
      <c r="D5912" s="11" t="s">
        <v>5390</v>
      </c>
    </row>
    <row r="5913" spans="1:4" ht="30">
      <c r="A5913" s="5" t="str">
        <f>HYPERLINK("https://www.oit.va.gov/Services/TRM/ToolPage.aspx?tid=8729^","PowerShow")</f>
        <v>PowerShow</v>
      </c>
      <c r="B5913" s="4" t="s">
        <v>8467</v>
      </c>
      <c r="C5913" s="8" t="s">
        <v>5</v>
      </c>
      <c r="D5913" s="11" t="s">
        <v>7265</v>
      </c>
    </row>
    <row r="5914" spans="1:4" ht="30">
      <c r="A5914" s="5" t="str">
        <f>HYPERLINK("https://www.oit.va.gov/Services/TRM/ToolPage.aspx?tid=8915^","OrgChart")</f>
        <v>OrgChart</v>
      </c>
      <c r="B5914" s="4" t="s">
        <v>4566</v>
      </c>
      <c r="C5914" s="8" t="s">
        <v>5</v>
      </c>
      <c r="D5914" s="11" t="s">
        <v>4567</v>
      </c>
    </row>
    <row r="5915" spans="1:4" ht="30">
      <c r="A5915" s="5" t="str">
        <f>HYPERLINK("https://www.oit.va.gov/Services/TRM/ToolPage.aspx?tid=8674^","OrgChart for Visio")</f>
        <v>OrgChart for Visio</v>
      </c>
      <c r="B5915" s="4" t="s">
        <v>4566</v>
      </c>
      <c r="C5915" s="8" t="s">
        <v>5</v>
      </c>
      <c r="D5915" s="11" t="s">
        <v>6404</v>
      </c>
    </row>
    <row r="5916" spans="1:4" ht="30">
      <c r="A5916" s="5" t="str">
        <f>HYPERLINK("https://www.oit.va.gov/Services/TRM/ToolPage.aspx?tid=16817^","Digital Imaging and Communications in Medicine (DICOM) Toolkit (DCMTK)")</f>
        <v>Digital Imaging and Communications in Medicine (DICOM) Toolkit (DCMTK)</v>
      </c>
      <c r="B5916" s="4" t="s">
        <v>6513</v>
      </c>
      <c r="C5916" s="8" t="s">
        <v>5</v>
      </c>
      <c r="D5916" s="11" t="s">
        <v>2546</v>
      </c>
    </row>
    <row r="5917" spans="1:4" ht="30">
      <c r="A5917" s="5" t="str">
        <f>HYPERLINK("https://www.oit.va.gov/Services/TRM/ToolPage.aspx?tid=14719^","OKD (The Origin Community Distribution of Kubernetes that powers Red Hat OpenShift)")</f>
        <v>OKD (The Origin Community Distribution of Kubernetes that powers Red Hat OpenShift)</v>
      </c>
      <c r="B5917" s="4" t="s">
        <v>8358</v>
      </c>
      <c r="C5917" s="8" t="s">
        <v>5</v>
      </c>
      <c r="D5917" s="11" t="s">
        <v>3148</v>
      </c>
    </row>
    <row r="5918" spans="1:4" ht="30">
      <c r="A5918" s="5" t="str">
        <f>HYPERLINK("https://www.oit.va.gov/Services/TRM/ToolPage.aspx?tid=16730^","Okta Multi-Factor Authentication (MFA) for Cisco Virtual Private Network (VPN)")</f>
        <v>Okta Multi-Factor Authentication (MFA) for Cisco Virtual Private Network (VPN)</v>
      </c>
      <c r="B5918" s="4" t="s">
        <v>1786</v>
      </c>
      <c r="C5918" s="8" t="s">
        <v>5</v>
      </c>
      <c r="D5918" s="11" t="s">
        <v>1787</v>
      </c>
    </row>
    <row r="5919" spans="1:4" ht="30">
      <c r="A5919" s="5" t="str">
        <f>HYPERLINK("https://www.oit.va.gov/Services/TRM/ToolPage.aspx?tid=14698^","Okta Browser Plugin")</f>
        <v>Okta Browser Plugin</v>
      </c>
      <c r="B5919" s="4" t="s">
        <v>1786</v>
      </c>
      <c r="C5919" s="8" t="s">
        <v>5</v>
      </c>
      <c r="D5919" s="11" t="s">
        <v>4531</v>
      </c>
    </row>
    <row r="5920" spans="1:4" ht="30">
      <c r="A5920" s="5" t="str">
        <f>HYPERLINK("https://www.oit.va.gov/Services/TRM/ToolPage.aspx?tid=16740^","Okta Verify")</f>
        <v>Okta Verify</v>
      </c>
      <c r="B5920" s="4" t="s">
        <v>1786</v>
      </c>
      <c r="C5920" s="8" t="s">
        <v>5</v>
      </c>
      <c r="D5920" s="11" t="s">
        <v>4532</v>
      </c>
    </row>
    <row r="5921" spans="1:4" ht="30">
      <c r="A5921" s="5" t="str">
        <f>HYPERLINK("https://www.oit.va.gov/Services/TRM/ToolPage.aspx?tid=16612^","Oauth2Proxy")</f>
        <v>Oauth2Proxy</v>
      </c>
      <c r="B5921" s="4" t="s">
        <v>4522</v>
      </c>
      <c r="C5921" s="8" t="s">
        <v>5</v>
      </c>
      <c r="D5921" s="11" t="s">
        <v>4523</v>
      </c>
    </row>
    <row r="5922" spans="1:4" ht="30">
      <c r="A5922" s="5" t="str">
        <f>HYPERLINK("https://www.oit.va.gov/Services/TRM/ToolPage.aspx?tid=10834^","OpenLabyrinth")</f>
        <v>OpenLabyrinth</v>
      </c>
      <c r="B5922" s="4" t="s">
        <v>8368</v>
      </c>
      <c r="C5922" s="8" t="s">
        <v>5</v>
      </c>
      <c r="D5922" s="11" t="s">
        <v>4538</v>
      </c>
    </row>
    <row r="5923" spans="1:4" ht="30">
      <c r="A5923" s="5" t="str">
        <f>HYPERLINK("https://www.oit.va.gov/Services/TRM/ToolPage.aspx?tid=11574^","Olea Sphere")</f>
        <v>Olea Sphere</v>
      </c>
      <c r="B5923" s="4" t="s">
        <v>5391</v>
      </c>
      <c r="C5923" s="8" t="s">
        <v>5</v>
      </c>
      <c r="D5923" s="11" t="s">
        <v>5392</v>
      </c>
    </row>
    <row r="5924" spans="1:4" ht="30">
      <c r="A5924" s="5" t="str">
        <f>HYPERLINK("https://www.oit.va.gov/Services/TRM/ToolPage.aspx?tid=16878^","Ollama system")</f>
        <v>Ollama system</v>
      </c>
      <c r="B5924" s="4" t="s">
        <v>6956</v>
      </c>
      <c r="C5924" s="8" t="s">
        <v>5</v>
      </c>
      <c r="D5924" s="11" t="s">
        <v>934</v>
      </c>
    </row>
    <row r="5925" spans="1:4" ht="30">
      <c r="A5925" s="5" t="str">
        <f>HYPERLINK("https://www.oit.va.gov/Services/TRM/ToolPage.aspx?tid=7664^","Project Cost")</f>
        <v>Project Cost</v>
      </c>
      <c r="B5925" s="4" t="s">
        <v>3467</v>
      </c>
      <c r="C5925" s="8" t="s">
        <v>5</v>
      </c>
      <c r="D5925" s="11" t="s">
        <v>3468</v>
      </c>
    </row>
    <row r="5926" spans="1:4" ht="30">
      <c r="A5926" s="5" t="str">
        <f>HYPERLINK("https://www.oit.va.gov/Services/TRM/ToolPage.aspx?tid=9573^","Digital Speech Standard (DSS) Player")</f>
        <v>Digital Speech Standard (DSS) Player</v>
      </c>
      <c r="B5926" s="4" t="s">
        <v>651</v>
      </c>
      <c r="C5926" s="8" t="s">
        <v>5</v>
      </c>
      <c r="D5926" s="11" t="s">
        <v>652</v>
      </c>
    </row>
    <row r="5927" spans="1:4" ht="30">
      <c r="A5927" s="5" t="str">
        <f>HYPERLINK("https://www.oit.va.gov/Services/TRM/ToolPage.aspx?tid=7085^","ODMS (Olympus Dictation Management System) Digital Dictation")</f>
        <v>ODMS (Olympus Dictation Management System) Digital Dictation</v>
      </c>
      <c r="B5927" s="4" t="s">
        <v>651</v>
      </c>
      <c r="C5927" s="8" t="s">
        <v>5</v>
      </c>
      <c r="D5927" s="11" t="s">
        <v>1730</v>
      </c>
    </row>
    <row r="5928" spans="1:4" ht="30">
      <c r="A5928" s="5" t="str">
        <f>HYPERLINK("https://www.oit.va.gov/Services/TRM/ToolPage.aspx?tid=9998^","VaultStream EasyCut")</f>
        <v>VaultStream EasyCut</v>
      </c>
      <c r="B5928" s="4" t="s">
        <v>651</v>
      </c>
      <c r="C5928" s="8" t="s">
        <v>5</v>
      </c>
      <c r="D5928" s="11" t="s">
        <v>23</v>
      </c>
    </row>
    <row r="5929" spans="1:4" ht="30">
      <c r="A5929" s="5" t="str">
        <f>HYPERLINK("https://www.oit.va.gov/Services/TRM/ToolPage.aspx?tid=9724^","LiveStream Portal")</f>
        <v>LiveStream Portal</v>
      </c>
      <c r="B5929" s="4" t="s">
        <v>651</v>
      </c>
      <c r="C5929" s="8" t="s">
        <v>5</v>
      </c>
      <c r="D5929" s="11" t="s">
        <v>5918</v>
      </c>
    </row>
    <row r="5930" spans="1:4" ht="30">
      <c r="A5930" s="5" t="str">
        <f>HYPERLINK("https://www.oit.va.gov/Services/TRM/ToolPage.aspx?tid=7426^","Olympus cellSens")</f>
        <v>Olympus cellSens</v>
      </c>
      <c r="B5930" s="4" t="s">
        <v>651</v>
      </c>
      <c r="C5930" s="8" t="s">
        <v>5</v>
      </c>
      <c r="D5930" s="11" t="s">
        <v>895</v>
      </c>
    </row>
    <row r="5931" spans="1:4" ht="30">
      <c r="A5931" s="5" t="str">
        <f>HYPERLINK("https://www.oit.va.gov/Services/TRM/ToolPage.aspx?tid=10193^","Knowledge Exchange (KE)")</f>
        <v>Knowledge Exchange (KE)</v>
      </c>
      <c r="B5931" s="4" t="s">
        <v>651</v>
      </c>
      <c r="C5931" s="8" t="s">
        <v>5</v>
      </c>
      <c r="D5931" s="11" t="s">
        <v>3334</v>
      </c>
    </row>
    <row r="5932" spans="1:4" ht="30">
      <c r="A5932" s="5" t="str">
        <f>HYPERLINK("https://www.oit.va.gov/Services/TRM/ToolPage.aspx?tid=8730^","Olympus Sonority")</f>
        <v>Olympus Sonority</v>
      </c>
      <c r="B5932" s="4" t="s">
        <v>651</v>
      </c>
      <c r="C5932" s="8" t="s">
        <v>5</v>
      </c>
      <c r="D5932" s="11" t="s">
        <v>434</v>
      </c>
    </row>
    <row r="5933" spans="1:4" ht="30">
      <c r="A5933" s="5" t="str">
        <f>HYPERLINK("https://www.oit.va.gov/Services/TRM/ToolPage.aspx?tid=16568^","Olympus Workspace")</f>
        <v>Olympus Workspace</v>
      </c>
      <c r="B5933" s="4" t="s">
        <v>4533</v>
      </c>
      <c r="C5933" s="8" t="s">
        <v>5</v>
      </c>
      <c r="D5933" s="11" t="s">
        <v>4534</v>
      </c>
    </row>
    <row r="5934" spans="1:4" ht="30">
      <c r="A5934" s="5" t="str">
        <f>HYPERLINK("https://www.oit.va.gov/Services/TRM/ToolPage.aspx?tid=14894^","Unifia Environment (UE)")</f>
        <v>Unifia Environment (UE)</v>
      </c>
      <c r="B5934" s="4" t="s">
        <v>4533</v>
      </c>
      <c r="C5934" s="8" t="s">
        <v>5</v>
      </c>
      <c r="D5934" s="11" t="s">
        <v>6129</v>
      </c>
    </row>
    <row r="5935" spans="1:4" ht="30">
      <c r="A5935" s="5" t="str">
        <f>HYPERLINK("https://www.oit.va.gov/Services/TRM/ToolPage.aspx?tid=15189^","EPView")</f>
        <v>EPView</v>
      </c>
      <c r="B5935" s="4" t="s">
        <v>4533</v>
      </c>
      <c r="C5935" s="8" t="s">
        <v>5</v>
      </c>
      <c r="D5935" s="11" t="s">
        <v>2429</v>
      </c>
    </row>
    <row r="5936" spans="1:4" ht="30">
      <c r="A5936" s="5" t="str">
        <f>HYPERLINK("https://www.oit.va.gov/Services/TRM/StandardPage.aspx?tid=5329^","Wireless Transport Layer Security (WTLS)")</f>
        <v>Wireless Transport Layer Security (WTLS)</v>
      </c>
      <c r="B5936" s="4" t="s">
        <v>8944</v>
      </c>
      <c r="C5936" s="8" t="s">
        <v>5</v>
      </c>
      <c r="D5936" s="11" t="s">
        <v>4995</v>
      </c>
    </row>
    <row r="5937" spans="1:4" ht="30">
      <c r="A5937" s="5" t="str">
        <f>HYPERLINK("https://www.oit.va.gov/Services/TRM/StandardPage.aspx?tid=5496^","Office of Management and Budget (OMB) Standard for Race and Ethnicity")</f>
        <v>Office of Management and Budget (OMB) Standard for Race and Ethnicity</v>
      </c>
      <c r="B5937" s="4" t="s">
        <v>4528</v>
      </c>
      <c r="C5937" s="8" t="s">
        <v>5</v>
      </c>
      <c r="D5937" s="11" t="s">
        <v>4529</v>
      </c>
    </row>
    <row r="5938" spans="1:4" ht="30">
      <c r="A5938" s="5" t="str">
        <f>HYPERLINK("https://www.oit.va.gov/Services/TRM/StandardPage.aspx?tid=5208^","Common Object Request Broker Architecture (CORBA/IIOP)")</f>
        <v>Common Object Request Broker Architecture (CORBA/IIOP)</v>
      </c>
      <c r="B5938" s="4" t="s">
        <v>5110</v>
      </c>
      <c r="C5938" s="8" t="s">
        <v>5</v>
      </c>
      <c r="D5938" s="11" t="s">
        <v>1453</v>
      </c>
    </row>
    <row r="5939" spans="1:4" ht="30">
      <c r="A5939" s="5" t="str">
        <f>HYPERLINK("https://www.oit.va.gov/Services/TRM/StandardPage.aspx?tid=6359^","Object Management Group (OMG) Business Process Model and Notation (BPMN)")</f>
        <v>Object Management Group (OMG) Business Process Model and Notation (BPMN)</v>
      </c>
      <c r="B5939" s="4" t="s">
        <v>5110</v>
      </c>
      <c r="C5939" s="8" t="s">
        <v>5</v>
      </c>
      <c r="D5939" s="11" t="s">
        <v>5960</v>
      </c>
    </row>
    <row r="5940" spans="1:4" ht="30">
      <c r="A5940" s="5" t="str">
        <f>HYPERLINK("https://www.oit.va.gov/Services/TRM/StandardPage.aspx?tid=5377^","Common Warehouse Metamodel (CWM)")</f>
        <v>Common Warehouse Metamodel (CWM)</v>
      </c>
      <c r="B5940" s="4" t="s">
        <v>5110</v>
      </c>
      <c r="C5940" s="8" t="s">
        <v>5</v>
      </c>
      <c r="D5940" s="11" t="s">
        <v>6446</v>
      </c>
    </row>
    <row r="5941" spans="1:4" ht="30">
      <c r="A5941" s="5" t="str">
        <f>HYPERLINK("https://www.oit.va.gov/Services/TRM/StandardPage.aspx?tid=5525^","Extensible Markup Language (XML) Metadata Interchange (XMI)")</f>
        <v>Extensible Markup Language (XML) Metadata Interchange (XMI)</v>
      </c>
      <c r="B5941" s="4" t="s">
        <v>5110</v>
      </c>
      <c r="C5941" s="8" t="s">
        <v>5</v>
      </c>
      <c r="D5941" s="11" t="s">
        <v>7900</v>
      </c>
    </row>
    <row r="5942" spans="1:4" ht="30">
      <c r="A5942" s="5" t="str">
        <f>HYPERLINK("https://www.oit.va.gov/Services/TRM/StandardPage.aspx?tid=5234^","Person Identification Service (PIDS)")</f>
        <v>Person Identification Service (PIDS)</v>
      </c>
      <c r="B5942" s="4" t="s">
        <v>5110</v>
      </c>
      <c r="C5942" s="8" t="s">
        <v>5</v>
      </c>
      <c r="D5942" s="11" t="s">
        <v>8420</v>
      </c>
    </row>
    <row r="5943" spans="1:4" ht="30">
      <c r="A5943" s="5" t="str">
        <f>HYPERLINK("https://www.oit.va.gov/Services/TRM/StandardPage.aspx?tid=5524^","Unified Modeling Language (UML)")</f>
        <v>Unified Modeling Language (UML)</v>
      </c>
      <c r="B5943" s="4" t="s">
        <v>5110</v>
      </c>
      <c r="C5943" s="8" t="s">
        <v>5</v>
      </c>
      <c r="D5943" s="11" t="s">
        <v>5592</v>
      </c>
    </row>
    <row r="5944" spans="1:4" ht="30">
      <c r="A5944" s="5" t="str">
        <f>HYPERLINK("https://www.oit.va.gov/Services/TRM/ToolPage.aspx?tid=11702^","Omnicell Performance Center")</f>
        <v>Omnicell Performance Center</v>
      </c>
      <c r="B5944" s="4" t="s">
        <v>1790</v>
      </c>
      <c r="C5944" s="8" t="s">
        <v>5</v>
      </c>
      <c r="D5944" s="11" t="s">
        <v>1791</v>
      </c>
    </row>
    <row r="5945" spans="1:4" ht="30">
      <c r="A5945" s="5" t="str">
        <f>HYPERLINK("https://www.oit.va.gov/Services/TRM/ToolPage.aspx?tid=6721^","Pandora Analytics")</f>
        <v>Pandora Analytics</v>
      </c>
      <c r="B5945" s="4" t="s">
        <v>1790</v>
      </c>
      <c r="C5945" s="8" t="s">
        <v>5</v>
      </c>
      <c r="D5945" s="11" t="s">
        <v>1825</v>
      </c>
    </row>
    <row r="5946" spans="1:4" ht="30">
      <c r="A5946" s="5" t="str">
        <f>HYPERLINK("https://www.oit.va.gov/Services/TRM/ToolPage.aspx?tid=11177^","OmniCenter Server")</f>
        <v>OmniCenter Server</v>
      </c>
      <c r="B5946" s="4" t="s">
        <v>1790</v>
      </c>
      <c r="C5946" s="8" t="s">
        <v>5</v>
      </c>
      <c r="D5946" s="11" t="s">
        <v>4537</v>
      </c>
    </row>
    <row r="5947" spans="1:4" ht="30">
      <c r="A5947" s="5" t="str">
        <f>HYPERLINK("https://www.oit.va.gov/Services/TRM/ToolPage.aspx?tid=10867^","Anywhere RN")</f>
        <v>Anywhere RN</v>
      </c>
      <c r="B5947" s="4" t="s">
        <v>1790</v>
      </c>
      <c r="C5947" s="8" t="s">
        <v>5</v>
      </c>
      <c r="D5947" s="11" t="s">
        <v>2195</v>
      </c>
    </row>
    <row r="5948" spans="1:4" ht="30">
      <c r="A5948" s="5" t="str">
        <f>HYPERLINK("https://www.oit.va.gov/Services/TRM/ToolPage.aspx?tid=9399^","WorkflowRx")</f>
        <v>WorkflowRx</v>
      </c>
      <c r="B5948" s="4" t="s">
        <v>1790</v>
      </c>
      <c r="C5948" s="8" t="s">
        <v>5</v>
      </c>
      <c r="D5948" s="11" t="s">
        <v>328</v>
      </c>
    </row>
    <row r="5949" spans="1:4" ht="30">
      <c r="A5949" s="5" t="str">
        <f>HYPERLINK("https://www.oit.va.gov/Services/TRM/ToolPage.aspx?tid=9075^","Omnigo Incident Reporting")</f>
        <v>Omnigo Incident Reporting</v>
      </c>
      <c r="B5949" s="4" t="s">
        <v>1792</v>
      </c>
      <c r="C5949" s="8" t="s">
        <v>5</v>
      </c>
      <c r="D5949" s="11" t="s">
        <v>1793</v>
      </c>
    </row>
    <row r="5950" spans="1:4" ht="30">
      <c r="A5950" s="5" t="str">
        <f>HYPERLINK("https://www.oit.va.gov/Services/TRM/ToolPage.aspx?tid=13248^","OmniGraffle")</f>
        <v>OmniGraffle</v>
      </c>
      <c r="B5950" s="4" t="s">
        <v>8360</v>
      </c>
      <c r="C5950" s="8" t="s">
        <v>5</v>
      </c>
      <c r="D5950" s="11" t="s">
        <v>7413</v>
      </c>
    </row>
    <row r="5951" spans="1:4" ht="30">
      <c r="A5951" s="5" t="str">
        <f>HYPERLINK("https://www.oit.va.gov/Services/TRM/ToolPage.aspx?tid=13998^","LVS (Label Vision System)-9510 Desktop Barcode Verifier")</f>
        <v>LVS (Label Vision System)-9510 Desktop Barcode Verifier</v>
      </c>
      <c r="B5951" s="4" t="s">
        <v>4379</v>
      </c>
      <c r="C5951" s="8" t="s">
        <v>5</v>
      </c>
      <c r="D5951" s="11" t="s">
        <v>4380</v>
      </c>
    </row>
    <row r="5952" spans="1:4" ht="30">
      <c r="A5952" s="5" t="str">
        <f>HYPERLINK("https://www.oit.va.gov/Services/TRM/ToolPage.aspx?tid=8306^","Environmental Health and Safety Assistant (EH&amp;S Assistant)")</f>
        <v>Environmental Health and Safety Assistant (EH&amp;S Assistant)</v>
      </c>
      <c r="B5952" s="4" t="s">
        <v>398</v>
      </c>
      <c r="C5952" s="8" t="s">
        <v>5</v>
      </c>
      <c r="D5952" s="11" t="s">
        <v>399</v>
      </c>
    </row>
    <row r="5953" spans="1:4" ht="30">
      <c r="A5953" s="5" t="str">
        <f>HYPERLINK("https://www.oit.va.gov/Services/TRM/ToolPage.aspx?tid=7538^","On Site Health Physics Assistant")</f>
        <v>On Site Health Physics Assistant</v>
      </c>
      <c r="B5953" s="4" t="s">
        <v>398</v>
      </c>
      <c r="C5953" s="8" t="s">
        <v>5</v>
      </c>
      <c r="D5953" s="11" t="s">
        <v>3426</v>
      </c>
    </row>
    <row r="5954" spans="1:4" ht="30">
      <c r="A5954" s="5" t="str">
        <f>HYPERLINK("https://www.oit.va.gov/Services/TRM/ToolPage.aspx?tid=7384^","Word Barcode Add-In")</f>
        <v>Word Barcode Add-In</v>
      </c>
      <c r="B5954" s="4" t="s">
        <v>8952</v>
      </c>
      <c r="C5954" s="8" t="s">
        <v>5</v>
      </c>
      <c r="D5954" s="11" t="s">
        <v>7459</v>
      </c>
    </row>
    <row r="5955" spans="1:4" ht="30">
      <c r="A5955" s="5" t="str">
        <f>HYPERLINK("https://www.oit.va.gov/Services/TRM/ToolPage.aspx?tid=6083^","NTRU TCG Software Stack (TSS)")</f>
        <v>NTRU TCG Software Stack (TSS)</v>
      </c>
      <c r="B5955" s="4" t="s">
        <v>3418</v>
      </c>
      <c r="C5955" s="8" t="s">
        <v>5</v>
      </c>
      <c r="D5955" s="11" t="s">
        <v>3419</v>
      </c>
    </row>
    <row r="5956" spans="1:4" ht="30">
      <c r="A5956" s="5" t="str">
        <f>HYPERLINK("https://www.oit.va.gov/Services/TRM/StandardPage.aspx?tid=16312^","United States Core Data for Interoperability (USCDI)")</f>
        <v>United States Core Data for Interoperability (USCDI)</v>
      </c>
      <c r="B5956" s="4" t="s">
        <v>5562</v>
      </c>
      <c r="C5956" s="8" t="s">
        <v>5</v>
      </c>
      <c r="D5956" s="11" t="s">
        <v>1679</v>
      </c>
    </row>
    <row r="5957" spans="1:4" ht="30">
      <c r="A5957" s="5" t="str">
        <f>HYPERLINK("https://www.oit.va.gov/Services/TRM/ToolPage.aspx?tid=14826^","ONCONav")</f>
        <v>ONCONav</v>
      </c>
      <c r="B5957" s="4" t="s">
        <v>1069</v>
      </c>
      <c r="C5957" s="8" t="s">
        <v>5</v>
      </c>
      <c r="D5957" s="11" t="s">
        <v>236</v>
      </c>
    </row>
    <row r="5958" spans="1:4" ht="30">
      <c r="A5958" s="5" t="str">
        <f>HYPERLINK("https://www.oit.va.gov/Services/TRM/ToolPage.aspx?tid=9761^","MUCheck")</f>
        <v>MUCheck</v>
      </c>
      <c r="B5958" s="4" t="s">
        <v>3401</v>
      </c>
      <c r="C5958" s="8" t="s">
        <v>5</v>
      </c>
      <c r="D5958" s="11" t="s">
        <v>3402</v>
      </c>
    </row>
    <row r="5959" spans="1:4" ht="30">
      <c r="A5959" s="5" t="str">
        <f>HYPERLINK("https://www.oit.va.gov/Services/TRM/ToolPage.aspx?tid=13110^","Quest Authentication Services")</f>
        <v>Quest Authentication Services</v>
      </c>
      <c r="B5959" s="4" t="s">
        <v>5461</v>
      </c>
      <c r="C5959" s="8" t="s">
        <v>5</v>
      </c>
      <c r="D5959" s="11" t="s">
        <v>5462</v>
      </c>
    </row>
    <row r="5960" spans="1:4" ht="30">
      <c r="A5960" s="5" t="str">
        <f>HYPERLINK("https://www.oit.va.gov/Services/TRM/ToolPage.aspx?tid=10953^","ActiveRoles Management Shell for Active Directory")</f>
        <v>ActiveRoles Management Shell for Active Directory</v>
      </c>
      <c r="B5960" s="4" t="s">
        <v>5461</v>
      </c>
      <c r="C5960" s="8" t="s">
        <v>5</v>
      </c>
      <c r="D5960" s="11" t="s">
        <v>7394</v>
      </c>
    </row>
    <row r="5961" spans="1:4" ht="30">
      <c r="A5961" s="5" t="str">
        <f>HYPERLINK("https://www.oit.va.gov/Services/TRM/ToolPage.aspx?tid=11210^","Human Leukocyte Antigen (HLA) In Vitro Diagnostic (IVD) Fusion")</f>
        <v>Human Leukocyte Antigen (HLA) In Vitro Diagnostic (IVD) Fusion</v>
      </c>
      <c r="B5961" s="4" t="s">
        <v>5861</v>
      </c>
      <c r="C5961" s="8" t="s">
        <v>5</v>
      </c>
      <c r="D5961" s="11" t="s">
        <v>345</v>
      </c>
    </row>
    <row r="5962" spans="1:4" ht="30">
      <c r="A5962" s="5" t="str">
        <f>HYPERLINK("https://www.oit.va.gov/Services/TRM/ToolPage.aspx?tid=16502^","OneLaunch")</f>
        <v>OneLaunch</v>
      </c>
      <c r="B5962" s="4" t="s">
        <v>6959</v>
      </c>
      <c r="C5962" s="8" t="s">
        <v>5</v>
      </c>
      <c r="D5962" s="11" t="s">
        <v>4943</v>
      </c>
    </row>
    <row r="5963" spans="1:4" ht="30">
      <c r="A5963" s="5" t="str">
        <f>HYPERLINK("https://www.oit.va.gov/Services/TRM/ToolPage.aspx?tid=14516^","BEAM")</f>
        <v>BEAM</v>
      </c>
      <c r="B5963" s="4" t="s">
        <v>3825</v>
      </c>
      <c r="C5963" s="8" t="s">
        <v>5</v>
      </c>
      <c r="D5963" s="11" t="s">
        <v>142</v>
      </c>
    </row>
    <row r="5964" spans="1:4" ht="30">
      <c r="A5964" s="5" t="str">
        <f>HYPERLINK("https://www.oit.va.gov/Services/TRM/ToolPage.aspx?tid=8791^","Gem for Microsoft OneNote")</f>
        <v>Gem for Microsoft OneNote</v>
      </c>
      <c r="B5964" s="4" t="s">
        <v>3662</v>
      </c>
      <c r="C5964" s="8" t="s">
        <v>5</v>
      </c>
      <c r="D5964" s="11" t="s">
        <v>988</v>
      </c>
    </row>
    <row r="5965" spans="1:4" ht="30">
      <c r="A5965" s="5" t="str">
        <f>HYPERLINK("https://www.oit.va.gov/Services/TRM/ToolPage.aspx?tid=12821^","OneStream XF")</f>
        <v>OneStream XF</v>
      </c>
      <c r="B5965" s="4" t="s">
        <v>8364</v>
      </c>
      <c r="C5965" s="8" t="s">
        <v>5</v>
      </c>
      <c r="D5965" s="11" t="s">
        <v>6201</v>
      </c>
    </row>
    <row r="5966" spans="1:4" ht="30">
      <c r="A5966" s="5" t="str">
        <f>HYPERLINK("https://www.oit.va.gov/Services/TRM/ToolPage.aspx?tid=15971^","OneTab")</f>
        <v>OneTab</v>
      </c>
      <c r="B5966" s="4" t="s">
        <v>4542</v>
      </c>
      <c r="C5966" s="8" t="s">
        <v>5</v>
      </c>
      <c r="D5966" s="11" t="s">
        <v>3414</v>
      </c>
    </row>
    <row r="5967" spans="1:4" ht="30">
      <c r="A5967" s="5" t="str">
        <f>HYPERLINK("https://www.oit.va.gov/Services/TRM/ToolPage.aspx?tid=13166^","AVS Video Converter")</f>
        <v>AVS Video Converter</v>
      </c>
      <c r="B5967" s="4" t="s">
        <v>3166</v>
      </c>
      <c r="C5967" s="8" t="s">
        <v>5</v>
      </c>
      <c r="D5967" s="11" t="s">
        <v>3167</v>
      </c>
    </row>
    <row r="5968" spans="1:4" ht="30">
      <c r="A5968" s="5" t="str">
        <f>HYPERLINK("https://www.oit.va.gov/Services/TRM/ToolPage.aspx?tid=11501^","NetGuard EVS")</f>
        <v>NetGuard EVS</v>
      </c>
      <c r="B5968" s="4" t="s">
        <v>6918</v>
      </c>
      <c r="C5968" s="8" t="s">
        <v>5</v>
      </c>
      <c r="D5968" s="11" t="s">
        <v>6919</v>
      </c>
    </row>
    <row r="5969" spans="1:4" ht="30">
      <c r="A5969" s="5" t="str">
        <f>HYPERLINK("https://www.oit.va.gov/Services/TRM/ToolPage.aspx?tid=10377^","HOBOware")</f>
        <v>HOBOware</v>
      </c>
      <c r="B5969" s="4" t="s">
        <v>701</v>
      </c>
      <c r="C5969" s="8" t="s">
        <v>5</v>
      </c>
      <c r="D5969" s="11" t="s">
        <v>702</v>
      </c>
    </row>
    <row r="5970" spans="1:4" ht="30">
      <c r="A5970" s="5" t="str">
        <f>HYPERLINK("https://www.oit.va.gov/Services/TRM/ToolPage.aspx?tid=8802^","Life Safety Inspector")</f>
        <v>Life Safety Inspector</v>
      </c>
      <c r="B5970" s="4" t="s">
        <v>8169</v>
      </c>
      <c r="C5970" s="8" t="s">
        <v>5</v>
      </c>
      <c r="D5970" s="11" t="s">
        <v>7215</v>
      </c>
    </row>
    <row r="5971" spans="1:4" ht="30">
      <c r="A5971" s="5" t="str">
        <f>HYPERLINK("https://www.oit.va.gov/Services/TRM/ToolPage.aspx?tid=13076^","OneScreen Annotate")</f>
        <v>OneScreen Annotate</v>
      </c>
      <c r="B5971" s="4" t="s">
        <v>8169</v>
      </c>
      <c r="C5971" s="8" t="s">
        <v>5</v>
      </c>
      <c r="D5971" s="11" t="s">
        <v>640</v>
      </c>
    </row>
    <row r="5972" spans="1:4" ht="30">
      <c r="A5972" s="5" t="str">
        <f>HYPERLINK("https://www.oit.va.gov/Services/TRM/ToolPage.aspx?tid=9050^","Graph Database (GraphDB)")</f>
        <v>Graph Database (GraphDB)</v>
      </c>
      <c r="B5972" s="4" t="s">
        <v>2132</v>
      </c>
      <c r="C5972" s="8" t="s">
        <v>5</v>
      </c>
      <c r="D5972" s="11" t="s">
        <v>2133</v>
      </c>
    </row>
    <row r="5973" spans="1:4" ht="30">
      <c r="A5973" s="5" t="str">
        <f>HYPERLINK("https://www.oit.va.gov/Services/TRM/ToolPage.aspx?tid=14938^","OnTrack Power Controls for Exchange")</f>
        <v>OnTrack Power Controls for Exchange</v>
      </c>
      <c r="B5973" s="4" t="s">
        <v>6962</v>
      </c>
      <c r="C5973" s="8" t="s">
        <v>5</v>
      </c>
      <c r="D5973" s="11" t="s">
        <v>5003</v>
      </c>
    </row>
    <row r="5974" spans="1:4" ht="30">
      <c r="A5974" s="5" t="str">
        <f>HYPERLINK("https://www.oit.va.gov/Services/TRM/ToolPage.aspx?tid=15656^","Onyx Thrive")</f>
        <v>Onyx Thrive</v>
      </c>
      <c r="B5974" s="4" t="s">
        <v>1795</v>
      </c>
      <c r="C5974" s="8" t="s">
        <v>5</v>
      </c>
      <c r="D5974" s="11" t="s">
        <v>1796</v>
      </c>
    </row>
    <row r="5975" spans="1:4" ht="30">
      <c r="A5975" s="5" t="str">
        <f>HYPERLINK("https://www.oit.va.gov/Services/TRM/ToolPage.aspx?tid=14870^","Onyx Production House 10")</f>
        <v>Onyx Production House 10</v>
      </c>
      <c r="B5975" s="4" t="s">
        <v>1795</v>
      </c>
      <c r="C5975" s="8" t="s">
        <v>5</v>
      </c>
      <c r="D5975" s="11" t="s">
        <v>3429</v>
      </c>
    </row>
    <row r="5976" spans="1:4" ht="30">
      <c r="A5976" s="5" t="str">
        <f>HYPERLINK("https://www.oit.va.gov/Services/TRM/StandardPage.aspx?tid=8259^","Open Application Programming Interface (API) Specification (OAS)")</f>
        <v>Open Application Programming Interface (API) Specification (OAS)</v>
      </c>
      <c r="B5976" s="4" t="s">
        <v>6963</v>
      </c>
      <c r="C5976" s="8" t="s">
        <v>5</v>
      </c>
      <c r="D5976" s="11" t="s">
        <v>6913</v>
      </c>
    </row>
    <row r="5977" spans="1:4" ht="30">
      <c r="A5977" s="5" t="str">
        <f>HYPERLINK("https://www.oit.va.gov/Services/TRM/ToolPage.aspx?tid=16622^","Whisper")</f>
        <v>Whisper</v>
      </c>
      <c r="B5977" s="4" t="s">
        <v>6963</v>
      </c>
      <c r="C5977" s="8" t="s">
        <v>5</v>
      </c>
      <c r="D5977" s="11" t="s">
        <v>7325</v>
      </c>
    </row>
    <row r="5978" spans="1:4" ht="30">
      <c r="A5978" s="5" t="str">
        <f>HYPERLINK("https://www.oit.va.gov/Services/TRM/ToolPage.aspx?tid=8231^","Swagger User Interface (UI)")</f>
        <v>Swagger User Interface (UI)</v>
      </c>
      <c r="B5978" s="4" t="s">
        <v>6963</v>
      </c>
      <c r="C5978" s="8" t="s">
        <v>5</v>
      </c>
      <c r="D5978" s="11" t="s">
        <v>4781</v>
      </c>
    </row>
    <row r="5979" spans="1:4" ht="30">
      <c r="A5979" s="5" t="str">
        <f>HYPERLINK("https://www.oit.va.gov/Services/TRM/StandardPage.aspx?tid=6232^","Web Coverage Service (WCS)")</f>
        <v>Web Coverage Service (WCS)</v>
      </c>
      <c r="B5979" s="4" t="s">
        <v>5588</v>
      </c>
      <c r="C5979" s="8" t="s">
        <v>5</v>
      </c>
      <c r="D5979" s="11" t="s">
        <v>5589</v>
      </c>
    </row>
    <row r="5980" spans="1:4" ht="30">
      <c r="A5980" s="5" t="str">
        <f>HYPERLINK("https://www.oit.va.gov/Services/TRM/StandardPage.aspx?tid=6201^","Geography Markup Language (GML)")</f>
        <v>Geography Markup Language (GML)</v>
      </c>
      <c r="B5980" s="4" t="s">
        <v>5588</v>
      </c>
      <c r="C5980" s="8" t="s">
        <v>5</v>
      </c>
      <c r="D5980" s="11" t="s">
        <v>6645</v>
      </c>
    </row>
    <row r="5981" spans="1:4" ht="30">
      <c r="A5981" s="5" t="str">
        <f>HYPERLINK("https://www.oit.va.gov/Services/TRM/StandardPage.aspx?tid=6301^","Web Feature Service (WFS)")</f>
        <v>Web Feature Service (WFS)</v>
      </c>
      <c r="B5981" s="4" t="s">
        <v>5588</v>
      </c>
      <c r="C5981" s="8" t="s">
        <v>5</v>
      </c>
      <c r="D5981" s="11" t="s">
        <v>2269</v>
      </c>
    </row>
    <row r="5982" spans="1:4" ht="30">
      <c r="A5982" s="5" t="str">
        <f>HYPERLINK("https://www.oit.va.gov/Services/TRM/StandardPage.aspx?tid=6302^","Web Map Service (WMS)")</f>
        <v>Web Map Service (WMS)</v>
      </c>
      <c r="B5982" s="4" t="s">
        <v>5588</v>
      </c>
      <c r="C5982" s="8" t="s">
        <v>5</v>
      </c>
      <c r="D5982" s="11" t="s">
        <v>288</v>
      </c>
    </row>
    <row r="5983" spans="1:4" ht="30">
      <c r="A5983" s="5" t="str">
        <f>HYPERLINK("https://www.oit.va.gov/Services/TRM/ToolPage.aspx?tid=8890^","MedTime")</f>
        <v>MedTime</v>
      </c>
      <c r="B5983" s="4" t="s">
        <v>5941</v>
      </c>
      <c r="C5983" s="8" t="s">
        <v>5</v>
      </c>
      <c r="D5983" s="11" t="s">
        <v>1698</v>
      </c>
    </row>
    <row r="5984" spans="1:4" ht="30">
      <c r="A5984" s="5" t="str">
        <f>HYPERLINK("https://www.oit.va.gov/Services/TRM/StandardPage.aspx?tid=6769^","Open Identifier (OpenID) Connect")</f>
        <v>Open Identifier (OpenID) Connect</v>
      </c>
      <c r="B5984" s="4" t="s">
        <v>6964</v>
      </c>
      <c r="C5984" s="8" t="s">
        <v>5</v>
      </c>
      <c r="D5984" s="11" t="s">
        <v>3071</v>
      </c>
    </row>
    <row r="5985" spans="1:4" ht="30">
      <c r="A5985" s="5" t="str">
        <f>HYPERLINK("https://www.oit.va.gov/Services/TRM/StandardPage.aspx?tid=6275^","Open Identifier Reference Implementation (OpenID RI)")</f>
        <v>Open Identifier Reference Implementation (OpenID RI)</v>
      </c>
      <c r="B5985" s="4" t="s">
        <v>6964</v>
      </c>
      <c r="C5985" s="8" t="s">
        <v>5</v>
      </c>
      <c r="D5985" s="11" t="s">
        <v>8365</v>
      </c>
    </row>
    <row r="5986" spans="1:4" ht="30">
      <c r="A5986" s="5" t="str">
        <f>HYPERLINK("https://www.oit.va.gov/Services/TRM/ToolPage.aspx?tid=7061^","OpenLayers")</f>
        <v>OpenLayers</v>
      </c>
      <c r="B5986" s="4" t="s">
        <v>5401</v>
      </c>
      <c r="C5986" s="8" t="s">
        <v>5</v>
      </c>
      <c r="D5986" s="11" t="s">
        <v>2829</v>
      </c>
    </row>
    <row r="5987" spans="1:4" ht="30">
      <c r="A5987" s="5" t="str">
        <f>HYPERLINK("https://www.oit.va.gov/Services/TRM/ToolPage.aspx?tid=15339^","Zowe")</f>
        <v>Zowe</v>
      </c>
      <c r="B5987" s="4" t="s">
        <v>5020</v>
      </c>
      <c r="C5987" s="8" t="s">
        <v>5</v>
      </c>
      <c r="D5987" s="11" t="s">
        <v>2393</v>
      </c>
    </row>
    <row r="5988" spans="1:4" ht="30">
      <c r="A5988" s="5" t="str">
        <f>HYPERLINK("https://www.oit.va.gov/Services/TRM/ToolPage.aspx?tid=11557^","Distributed Network Architecture (DNA) Fusion")</f>
        <v>Distributed Network Architecture (DNA) Fusion</v>
      </c>
      <c r="B5988" s="4" t="s">
        <v>4027</v>
      </c>
      <c r="C5988" s="8" t="s">
        <v>5</v>
      </c>
      <c r="D5988" s="11" t="s">
        <v>4028</v>
      </c>
    </row>
    <row r="5989" spans="1:4" ht="30">
      <c r="A5989" s="5" t="str">
        <f>HYPERLINK("https://www.oit.va.gov/Services/TRM/ToolPage.aspx?tid=16525^","Gatekeeper")</f>
        <v>Gatekeeper</v>
      </c>
      <c r="B5989" s="4" t="s">
        <v>4171</v>
      </c>
      <c r="C5989" s="8" t="s">
        <v>5</v>
      </c>
      <c r="D5989" s="11" t="s">
        <v>4172</v>
      </c>
    </row>
    <row r="5990" spans="1:4" ht="30">
      <c r="A5990" s="5" t="str">
        <f>HYPERLINK("https://www.oit.va.gov/Services/TRM/ToolPage.aspx?tid=12836^","PsychoPy")</f>
        <v>PsychoPy</v>
      </c>
      <c r="B5990" s="4" t="s">
        <v>7041</v>
      </c>
      <c r="C5990" s="8" t="s">
        <v>5</v>
      </c>
      <c r="D5990" s="11" t="s">
        <v>5454</v>
      </c>
    </row>
    <row r="5991" spans="1:4" ht="30">
      <c r="A5991" s="5" t="str">
        <f>HYPERLINK("https://www.oit.va.gov/Services/TRM/ToolPage.aspx?tid=9035^","REXXTOOLS/MVS")</f>
        <v>REXXTOOLS/MVS</v>
      </c>
      <c r="B5991" s="4" t="s">
        <v>255</v>
      </c>
      <c r="C5991" s="8" t="s">
        <v>5</v>
      </c>
      <c r="D5991" s="11" t="s">
        <v>256</v>
      </c>
    </row>
    <row r="5992" spans="1:4" ht="30">
      <c r="A5992" s="5" t="str">
        <f>HYPERLINK("https://www.oit.va.gov/Services/TRM/ToolPage.aspx?tid=7130^","Open Secure Socket Layer (OpenSSL)")</f>
        <v>Open Secure Socket Layer (OpenSSL)</v>
      </c>
      <c r="B5992" s="4" t="s">
        <v>1797</v>
      </c>
      <c r="C5992" s="8" t="s">
        <v>5</v>
      </c>
      <c r="D5992" s="11" t="s">
        <v>1798</v>
      </c>
    </row>
    <row r="5993" spans="1:4" ht="30">
      <c r="A5993" s="5" t="str">
        <f>HYPERLINK("https://www.oit.va.gov/Services/TRM/ToolPage.aspx?tid=16732^","Plover")</f>
        <v>Plover</v>
      </c>
      <c r="B5993" s="4" t="s">
        <v>2864</v>
      </c>
      <c r="C5993" s="8" t="s">
        <v>5</v>
      </c>
      <c r="D5993" s="11" t="s">
        <v>1840</v>
      </c>
    </row>
    <row r="5994" spans="1:4" ht="30">
      <c r="A5994" s="5" t="str">
        <f>HYPERLINK("https://www.oit.va.gov/Services/TRM/ToolPage.aspx?tid=15216^","EnCase Endpoint Investigator")</f>
        <v>EnCase Endpoint Investigator</v>
      </c>
      <c r="B5994" s="4" t="s">
        <v>673</v>
      </c>
      <c r="C5994" s="8" t="s">
        <v>5</v>
      </c>
      <c r="D5994" s="11" t="s">
        <v>674</v>
      </c>
    </row>
    <row r="5995" spans="1:4" ht="30">
      <c r="A5995" s="5" t="str">
        <f>HYPERLINK("https://www.oit.va.gov/Services/TRM/ToolPage.aspx?tid=5136^","OpenText Dimensions Change Management (CM)")</f>
        <v>OpenText Dimensions Change Management (CM)</v>
      </c>
      <c r="B5995" s="4" t="s">
        <v>673</v>
      </c>
      <c r="C5995" s="8" t="s">
        <v>5</v>
      </c>
      <c r="D5995" s="11" t="s">
        <v>1803</v>
      </c>
    </row>
    <row r="5996" spans="1:4" ht="30">
      <c r="A5996" s="5" t="str">
        <f>HYPERLINK("https://www.oit.va.gov/Services/TRM/ToolPage.aspx?tid=7274^","SiteScope")</f>
        <v>SiteScope</v>
      </c>
      <c r="B5996" s="4" t="s">
        <v>673</v>
      </c>
      <c r="C5996" s="8" t="s">
        <v>5</v>
      </c>
      <c r="D5996" s="11" t="s">
        <v>1890</v>
      </c>
    </row>
    <row r="5997" spans="1:4" ht="30">
      <c r="A5997" s="5" t="str">
        <f>HYPERLINK("https://www.oit.va.gov/Services/TRM/ToolPage.aspx?tid=9512^","Solutions Business Manager (SBM)")</f>
        <v>Solutions Business Manager (SBM)</v>
      </c>
      <c r="B5997" s="4" t="s">
        <v>673</v>
      </c>
      <c r="C5997" s="8" t="s">
        <v>5</v>
      </c>
      <c r="D5997" s="11" t="s">
        <v>1946</v>
      </c>
    </row>
    <row r="5998" spans="1:4" ht="30">
      <c r="A5998" s="5" t="str">
        <f>HYPERLINK("https://www.oit.va.gov/Services/TRM/ToolPage.aspx?tid=8461^","Trusted Link Enterprise (TLE) Operating Control Center")</f>
        <v>Trusted Link Enterprise (TLE) Operating Control Center</v>
      </c>
      <c r="B5998" s="4" t="s">
        <v>673</v>
      </c>
      <c r="C5998" s="8" t="s">
        <v>5</v>
      </c>
      <c r="D5998" s="11" t="s">
        <v>3038</v>
      </c>
    </row>
    <row r="5999" spans="1:4" ht="30">
      <c r="A5999" s="5" t="str">
        <f>HYPERLINK("https://www.oit.va.gov/Services/TRM/ToolPage.aspx?tid=13600^","Silk Test")</f>
        <v>Silk Test</v>
      </c>
      <c r="B5999" s="4" t="s">
        <v>673</v>
      </c>
      <c r="C5999" s="8" t="s">
        <v>5</v>
      </c>
      <c r="D5999" s="11" t="s">
        <v>848</v>
      </c>
    </row>
    <row r="6000" spans="1:4" ht="30">
      <c r="A6000" s="5" t="str">
        <f>HYPERLINK("https://www.oit.va.gov/Services/TRM/ToolPage.aspx?tid=5881^","OpenText Application Content Management (ACM)")</f>
        <v>OpenText Application Content Management (ACM)</v>
      </c>
      <c r="B6000" s="4" t="s">
        <v>673</v>
      </c>
      <c r="C6000" s="8" t="s">
        <v>5</v>
      </c>
      <c r="D6000" s="11" t="s">
        <v>4555</v>
      </c>
    </row>
    <row r="6001" spans="1:4" ht="30">
      <c r="A6001" s="5" t="str">
        <f>HYPERLINK("https://www.oit.va.gov/Services/TRM/ToolPage.aspx?tid=8557^","MedNX OfficeNode Service")</f>
        <v>MedNX OfficeNode Service</v>
      </c>
      <c r="B6001" s="4" t="s">
        <v>673</v>
      </c>
      <c r="C6001" s="8" t="s">
        <v>5</v>
      </c>
      <c r="D6001" s="11" t="s">
        <v>2589</v>
      </c>
    </row>
    <row r="6002" spans="1:4" ht="30">
      <c r="A6002" s="5" t="str">
        <f>HYPERLINK("https://www.oit.va.gov/Services/TRM/ToolPage.aspx?tid=8460^","Trusted Link Enterprise (TLE) Mapping Workbench")</f>
        <v>Trusted Link Enterprise (TLE) Mapping Workbench</v>
      </c>
      <c r="B6002" s="4" t="s">
        <v>673</v>
      </c>
      <c r="C6002" s="8" t="s">
        <v>5</v>
      </c>
      <c r="D6002" s="11" t="s">
        <v>1409</v>
      </c>
    </row>
    <row r="6003" spans="1:4" ht="30">
      <c r="A6003" s="5" t="str">
        <f>HYPERLINK("https://www.oit.va.gov/Services/TRM/ToolPage.aspx?tid=14771^","Brava Enterprise")</f>
        <v>Brava Enterprise</v>
      </c>
      <c r="B6003" s="4" t="s">
        <v>673</v>
      </c>
      <c r="C6003" s="8" t="s">
        <v>5</v>
      </c>
      <c r="D6003" s="11" t="s">
        <v>2178</v>
      </c>
    </row>
    <row r="6004" spans="1:4" ht="30">
      <c r="A6004" s="5" t="str">
        <f>HYPERLINK("https://www.oit.va.gov/Services/TRM/ToolPage.aspx?tid=6867^","TrustedLink")</f>
        <v>TrustedLink</v>
      </c>
      <c r="B6004" s="4" t="s">
        <v>673</v>
      </c>
      <c r="C6004" s="8" t="s">
        <v>5</v>
      </c>
      <c r="D6004" s="11" t="s">
        <v>8832</v>
      </c>
    </row>
    <row r="6005" spans="1:4" ht="30">
      <c r="A6005" s="5" t="str">
        <f>HYPERLINK("https://www.oit.va.gov/Services/TRM/ToolPage.aspx?tid=7424^","Enterprise Security Application Programming Interface (ESAPI) for Java Enterprise Edition (Java EE)")</f>
        <v>Enterprise Security Application Programming Interface (ESAPI) for Java Enterprise Edition (Java EE)</v>
      </c>
      <c r="B6005" s="4" t="s">
        <v>4099</v>
      </c>
      <c r="C6005" s="8" t="s">
        <v>5</v>
      </c>
      <c r="D6005" s="11" t="s">
        <v>1393</v>
      </c>
    </row>
    <row r="6006" spans="1:4" ht="30">
      <c r="A6006" s="5" t="str">
        <f>HYPERLINK("https://www.oit.va.gov/Services/TRM/ToolPage.aspx?tid=8922^","Open Secure Shell (OpenSSH)")</f>
        <v>Open Secure Shell (OpenSSH)</v>
      </c>
      <c r="B6006" s="4" t="s">
        <v>3430</v>
      </c>
      <c r="C6006" s="8" t="s">
        <v>5</v>
      </c>
      <c r="D6006" s="11" t="s">
        <v>2735</v>
      </c>
    </row>
    <row r="6007" spans="1:4" ht="30">
      <c r="A6007" s="5" t="str">
        <f>HYPERLINK("https://www.oit.va.gov/Services/TRM/ToolPage.aspx?tid=7060^","OpenBUGS")</f>
        <v>OpenBUGS</v>
      </c>
      <c r="B6007" s="4" t="s">
        <v>6199</v>
      </c>
      <c r="C6007" s="8" t="s">
        <v>5</v>
      </c>
      <c r="D6007" s="11" t="s">
        <v>5408</v>
      </c>
    </row>
    <row r="6008" spans="1:4" ht="30">
      <c r="A6008" s="5" t="str">
        <f>HYPERLINK("https://www.oit.va.gov/Services/TRM/ToolPage.aspx?tid=6329^","OpenClinica")</f>
        <v>OpenClinica</v>
      </c>
      <c r="B6008" s="4" t="s">
        <v>4549</v>
      </c>
      <c r="C6008" s="8" t="s">
        <v>5</v>
      </c>
      <c r="D6008" s="11" t="s">
        <v>4550</v>
      </c>
    </row>
    <row r="6009" spans="1:4" ht="30">
      <c r="A6009" s="5" t="str">
        <f>HYPERLINK("https://www.oit.va.gov/Services/TRM/ToolPage.aspx?tid=8037^","Open Source Computer Vision Library (OpenCV)")</f>
        <v>Open Source Computer Vision Library (OpenCV)</v>
      </c>
      <c r="B6009" s="4" t="s">
        <v>5400</v>
      </c>
      <c r="C6009" s="8" t="s">
        <v>5</v>
      </c>
      <c r="D6009" s="11" t="s">
        <v>3053</v>
      </c>
    </row>
    <row r="6010" spans="1:4" ht="30">
      <c r="A6010" s="5" t="str">
        <f>HYPERLINK("https://www.oit.va.gov/Services/TRM/ToolPage.aspx?tid=8291^","Surveillix Central Station (SCS) Software")</f>
        <v>Surveillix Central Station (SCS) Software</v>
      </c>
      <c r="B6010" s="4" t="s">
        <v>7199</v>
      </c>
      <c r="C6010" s="8" t="s">
        <v>5</v>
      </c>
      <c r="D6010" s="11" t="s">
        <v>4199</v>
      </c>
    </row>
    <row r="6011" spans="1:4" ht="30">
      <c r="A6011" s="5" t="str">
        <f>HYPERLINK("https://www.oit.va.gov/Services/TRM/ToolPage.aspx?tid=13772^","Cartegraph Asset Management")</f>
        <v>Cartegraph Asset Management</v>
      </c>
      <c r="B6011" s="4" t="s">
        <v>3891</v>
      </c>
      <c r="C6011" s="8" t="s">
        <v>5</v>
      </c>
      <c r="D6011" s="11" t="s">
        <v>1423</v>
      </c>
    </row>
    <row r="6012" spans="1:4" ht="30">
      <c r="A6012" s="5" t="str">
        <f>HYPERLINK("https://www.oit.va.gov/Services/TRM/ToolPage.aspx?tid=8248^","Mocha")</f>
        <v>Mocha</v>
      </c>
      <c r="B6012" s="4" t="s">
        <v>2782</v>
      </c>
      <c r="C6012" s="8" t="s">
        <v>5</v>
      </c>
      <c r="D6012" s="11" t="s">
        <v>2783</v>
      </c>
    </row>
    <row r="6013" spans="1:4" ht="30">
      <c r="A6013" s="5" t="str">
        <f>HYPERLINK("https://www.oit.va.gov/Services/TRM/ToolPage.aspx?tid=15696^","SQLECTRON Graphical User Interface (GUI)")</f>
        <v>SQLECTRON Graphical User Interface (GUI)</v>
      </c>
      <c r="B6013" s="4" t="s">
        <v>2782</v>
      </c>
      <c r="C6013" s="8" t="s">
        <v>5</v>
      </c>
      <c r="D6013" s="11" t="s">
        <v>4845</v>
      </c>
    </row>
    <row r="6014" spans="1:4" ht="30">
      <c r="A6014" s="5" t="str">
        <f>HYPERLINK("https://www.oit.va.gov/Services/TRM/ToolPage.aspx?tid=8162^","Grunt")</f>
        <v>Grunt</v>
      </c>
      <c r="B6014" s="4" t="s">
        <v>2782</v>
      </c>
      <c r="C6014" s="8" t="s">
        <v>5</v>
      </c>
      <c r="D6014" s="11" t="s">
        <v>6673</v>
      </c>
    </row>
    <row r="6015" spans="1:4" ht="30">
      <c r="A6015" s="5" t="str">
        <f>HYPERLINK("https://www.oit.va.gov/Services/TRM/ToolPage.aspx?tid=8172^","Open Lightweight Directory Access Protocol (OpenLDAP)")</f>
        <v>Open Lightweight Directory Access Protocol (OpenLDAP)</v>
      </c>
      <c r="B6015" s="4" t="s">
        <v>2822</v>
      </c>
      <c r="C6015" s="8" t="s">
        <v>5</v>
      </c>
      <c r="D6015" s="11" t="s">
        <v>2823</v>
      </c>
    </row>
    <row r="6016" spans="1:4" ht="30">
      <c r="A6016" s="5" t="str">
        <f>HYPERLINK("https://www.oit.va.gov/Services/TRM/ToolPage.aspx?tid=11064^","JRobin")</f>
        <v>JRobin</v>
      </c>
      <c r="B6016" s="4" t="s">
        <v>6754</v>
      </c>
      <c r="C6016" s="8" t="s">
        <v>5</v>
      </c>
      <c r="D6016" s="11" t="s">
        <v>5539</v>
      </c>
    </row>
    <row r="6017" spans="1:4" ht="30">
      <c r="A6017" s="5" t="str">
        <f>HYPERLINK("https://www.oit.va.gov/Services/TRM/ToolPage.aspx?tid=16285^","OpenProject")</f>
        <v>OpenProject</v>
      </c>
      <c r="B6017" s="4" t="s">
        <v>4551</v>
      </c>
      <c r="C6017" s="8" t="s">
        <v>5</v>
      </c>
      <c r="D6017" s="11" t="s">
        <v>4552</v>
      </c>
    </row>
    <row r="6018" spans="1:4" ht="30">
      <c r="A6018" s="5" t="str">
        <f>HYPERLINK("https://www.oit.va.gov/Services/TRM/ToolPage.aspx?tid=14267^","OpenSC (Smart Card)")</f>
        <v>OpenSC (Smart Card)</v>
      </c>
      <c r="B6018" s="4" t="s">
        <v>1799</v>
      </c>
      <c r="C6018" s="8" t="s">
        <v>5</v>
      </c>
      <c r="D6018" s="11" t="s">
        <v>1800</v>
      </c>
    </row>
    <row r="6019" spans="1:4" ht="30">
      <c r="A6019" s="5" t="str">
        <f>HYPERLINK("https://www.oit.va.gov/Services/TRM/ToolPage.aspx?tid=16577^","PAM-PKCS11 Linux Module")</f>
        <v>PAM-PKCS11 Linux Module</v>
      </c>
      <c r="B6019" s="4" t="s">
        <v>1799</v>
      </c>
      <c r="C6019" s="8" t="s">
        <v>5</v>
      </c>
      <c r="D6019" s="11" t="s">
        <v>4577</v>
      </c>
    </row>
    <row r="6020" spans="1:4" ht="30">
      <c r="A6020" s="5" t="str">
        <f>HYPERLINK("https://www.oit.va.gov/Services/TRM/ToolPage.aspx?tid=9055^","OpenStack")</f>
        <v>OpenStack</v>
      </c>
      <c r="B6020" s="4" t="s">
        <v>5404</v>
      </c>
      <c r="C6020" s="8" t="s">
        <v>5</v>
      </c>
      <c r="D6020" s="11" t="s">
        <v>3577</v>
      </c>
    </row>
    <row r="6021" spans="1:4" ht="30">
      <c r="A6021" s="5" t="str">
        <f>HYPERLINK("https://www.oit.va.gov/Services/TRM/ToolPage.aspx?tid=27^","LoadRunner Professional")</f>
        <v>LoadRunner Professional</v>
      </c>
      <c r="B6021" s="4" t="s">
        <v>747</v>
      </c>
      <c r="C6021" s="8" t="s">
        <v>5</v>
      </c>
      <c r="D6021" s="11" t="s">
        <v>748</v>
      </c>
    </row>
    <row r="6022" spans="1:4" ht="30">
      <c r="A6022" s="5" t="str">
        <f>HYPERLINK("https://www.oit.va.gov/Services/TRM/ToolPage.aspx?tid=6154^","TeleForm")</f>
        <v>TeleForm</v>
      </c>
      <c r="B6022" s="4" t="s">
        <v>747</v>
      </c>
      <c r="C6022" s="8" t="s">
        <v>5</v>
      </c>
      <c r="D6022" s="11" t="s">
        <v>1991</v>
      </c>
    </row>
    <row r="6023" spans="1:4" ht="30">
      <c r="A6023" s="5" t="str">
        <f>HYPERLINK("https://www.oit.va.gov/Services/TRM/ToolPage.aspx?tid=5683^","OpenText RightFax")</f>
        <v>OpenText RightFax</v>
      </c>
      <c r="B6023" s="4" t="s">
        <v>747</v>
      </c>
      <c r="C6023" s="8" t="s">
        <v>5</v>
      </c>
      <c r="D6023" s="11" t="s">
        <v>1873</v>
      </c>
    </row>
    <row r="6024" spans="1:4" ht="30">
      <c r="A6024" s="5" t="str">
        <f>HYPERLINK("https://www.oit.va.gov/Services/TRM/ToolPage.aspx?tid=6105^","OpenText Intelligent Capture")</f>
        <v>OpenText Intelligent Capture</v>
      </c>
      <c r="B6024" s="4" t="s">
        <v>747</v>
      </c>
      <c r="C6024" s="8" t="s">
        <v>5</v>
      </c>
      <c r="D6024" s="11" t="s">
        <v>4556</v>
      </c>
    </row>
    <row r="6025" spans="1:4" ht="30">
      <c r="A6025" s="5" t="str">
        <f>HYPERLINK("https://www.oit.va.gov/Services/TRM/ToolPage.aspx?tid=16715^","OpenText Sprinter")</f>
        <v>OpenText Sprinter</v>
      </c>
      <c r="B6025" s="4" t="s">
        <v>747</v>
      </c>
      <c r="C6025" s="8" t="s">
        <v>5</v>
      </c>
      <c r="D6025" s="11" t="s">
        <v>4557</v>
      </c>
    </row>
    <row r="6026" spans="1:4" ht="30">
      <c r="A6026" s="5" t="str">
        <f>HYPERLINK("https://www.oit.va.gov/Services/TRM/ToolPage.aspx?tid=26^","OpenText Unified Functional Testing (UFT) One")</f>
        <v>OpenText Unified Functional Testing (UFT) One</v>
      </c>
      <c r="B6026" s="4" t="s">
        <v>747</v>
      </c>
      <c r="C6026" s="8" t="s">
        <v>5</v>
      </c>
      <c r="D6026" s="11" t="s">
        <v>4558</v>
      </c>
    </row>
    <row r="6027" spans="1:4" ht="30">
      <c r="A6027" s="5" t="str">
        <f>HYPERLINK("https://www.oit.va.gov/Services/TRM/ToolPage.aspx?tid=6887^","OpenText LiquidOffice")</f>
        <v>OpenText LiquidOffice</v>
      </c>
      <c r="B6027" s="4" t="s">
        <v>747</v>
      </c>
      <c r="C6027" s="8" t="s">
        <v>5</v>
      </c>
      <c r="D6027" s="11" t="s">
        <v>3443</v>
      </c>
    </row>
    <row r="6028" spans="1:4" ht="30">
      <c r="A6028" s="5" t="str">
        <f>HYPERLINK("https://www.oit.va.gov/Services/TRM/ToolPage.aspx?tid=6116^","QuickScan Pro")</f>
        <v>QuickScan Pro</v>
      </c>
      <c r="B6028" s="4" t="s">
        <v>747</v>
      </c>
      <c r="C6028" s="8" t="s">
        <v>5</v>
      </c>
      <c r="D6028" s="11" t="s">
        <v>5463</v>
      </c>
    </row>
    <row r="6029" spans="1:4" ht="30">
      <c r="A6029" s="5" t="str">
        <f>HYPERLINK("https://www.oit.va.gov/Services/TRM/ToolPage.aspx?tid=5847^","TeamSite")</f>
        <v>TeamSite</v>
      </c>
      <c r="B6029" s="4" t="s">
        <v>747</v>
      </c>
      <c r="C6029" s="8" t="s">
        <v>5</v>
      </c>
      <c r="D6029" s="11" t="s">
        <v>6099</v>
      </c>
    </row>
    <row r="6030" spans="1:4" ht="30">
      <c r="A6030" s="5" t="str">
        <f>HYPERLINK("https://www.oit.va.gov/Services/TRM/ToolPage.aspx?tid=11243^","Opentext Exceed")</f>
        <v>Opentext Exceed</v>
      </c>
      <c r="B6030" s="4" t="s">
        <v>747</v>
      </c>
      <c r="C6030" s="8" t="s">
        <v>5</v>
      </c>
      <c r="D6030" s="11" t="s">
        <v>6971</v>
      </c>
    </row>
    <row r="6031" spans="1:4" ht="30">
      <c r="A6031" s="5" t="str">
        <f>HYPERLINK("https://www.oit.va.gov/Services/TRM/ToolPage.aspx?tid=7624^","OpenText Process Suite Platform")</f>
        <v>OpenText Process Suite Platform</v>
      </c>
      <c r="B6031" s="4" t="s">
        <v>747</v>
      </c>
      <c r="C6031" s="8" t="s">
        <v>5</v>
      </c>
      <c r="D6031" s="11" t="s">
        <v>6972</v>
      </c>
    </row>
    <row r="6032" spans="1:4" ht="30">
      <c r="A6032" s="5" t="str">
        <f>HYPERLINK("https://www.oit.va.gov/Services/TRM/ToolPage.aspx?tid=13189^","OpenVPN")</f>
        <v>OpenVPN</v>
      </c>
      <c r="B6032" s="4" t="s">
        <v>6974</v>
      </c>
      <c r="C6032" s="8" t="s">
        <v>5</v>
      </c>
      <c r="D6032" s="11" t="s">
        <v>2767</v>
      </c>
    </row>
    <row r="6033" spans="1:4" ht="30">
      <c r="A6033" s="5" t="str">
        <f>HYPERLINK("https://www.oit.va.gov/Services/TRM/ToolPage.aspx?tid=6587^","Dovecot")</f>
        <v>Dovecot</v>
      </c>
      <c r="B6033" s="4" t="s">
        <v>6535</v>
      </c>
      <c r="C6033" s="8" t="s">
        <v>5</v>
      </c>
      <c r="D6033" s="11" t="s">
        <v>5176</v>
      </c>
    </row>
    <row r="6034" spans="1:4" ht="30">
      <c r="A6034" s="5" t="str">
        <f>HYPERLINK("https://www.oit.va.gov/Services/TRM/ToolPage.aspx?tid=11122^","Opera (Opera Desktop)")</f>
        <v>Opera (Opera Desktop)</v>
      </c>
      <c r="B6034" s="4" t="s">
        <v>6975</v>
      </c>
      <c r="C6034" s="8" t="s">
        <v>5</v>
      </c>
      <c r="D6034" s="11" t="s">
        <v>6976</v>
      </c>
    </row>
    <row r="6035" spans="1:4" ht="30">
      <c r="A6035" s="5" t="str">
        <f>HYPERLINK("https://www.oit.va.gov/Services/TRM/ToolPage.aspx?tid=10783^","Electrical Transient Analyzer Program (ETAP)")</f>
        <v>Electrical Transient Analyzer Program (ETAP)</v>
      </c>
      <c r="B6035" s="4" t="s">
        <v>206</v>
      </c>
      <c r="C6035" s="8" t="s">
        <v>5</v>
      </c>
      <c r="D6035" s="11" t="s">
        <v>207</v>
      </c>
    </row>
    <row r="6036" spans="1:4" ht="30">
      <c r="A6036" s="5" t="str">
        <f>HYPERLINK("https://www.oit.va.gov/Services/TRM/ToolPage.aspx?tid=8074^","Service Computation Date (SCD) Calculator")</f>
        <v>Service Computation Date (SCD) Calculator</v>
      </c>
      <c r="B6036" s="4" t="s">
        <v>8626</v>
      </c>
      <c r="C6036" s="8" t="s">
        <v>5</v>
      </c>
      <c r="D6036" s="11" t="s">
        <v>7172</v>
      </c>
    </row>
    <row r="6037" spans="1:4" ht="30">
      <c r="A6037" s="5" t="str">
        <f>HYPERLINK("https://www.oit.va.gov/Services/TRM/ToolPage.aspx?tid=15680^","OpsHub Migrator for Microsoft Azure DevOps")</f>
        <v>OpsHub Migrator for Microsoft Azure DevOps</v>
      </c>
      <c r="B6037" s="4" t="s">
        <v>3432</v>
      </c>
      <c r="C6037" s="8" t="s">
        <v>5</v>
      </c>
      <c r="D6037" s="11" t="s">
        <v>3433</v>
      </c>
    </row>
    <row r="6038" spans="1:4" ht="30">
      <c r="A6038" s="5" t="str">
        <f>HYPERLINK("https://www.oit.va.gov/Services/TRM/ToolPage.aspx?tid=15287^","Media Editor Pro Plus")</f>
        <v>Media Editor Pro Plus</v>
      </c>
      <c r="B6038" s="4" t="s">
        <v>1719</v>
      </c>
      <c r="C6038" s="8" t="s">
        <v>5</v>
      </c>
      <c r="D6038" s="11" t="s">
        <v>1720</v>
      </c>
    </row>
    <row r="6039" spans="1:4" ht="30">
      <c r="A6039" s="5" t="str">
        <f>HYPERLINK("https://www.oit.va.gov/Services/TRM/ToolPage.aspx?tid=9312^","Optec Displays WinEDT")</f>
        <v>Optec Displays WinEDT</v>
      </c>
      <c r="B6039" s="4" t="s">
        <v>1719</v>
      </c>
      <c r="C6039" s="8" t="s">
        <v>5</v>
      </c>
      <c r="D6039" s="11" t="s">
        <v>3434</v>
      </c>
    </row>
    <row r="6040" spans="1:4" ht="30">
      <c r="A6040" s="5" t="str">
        <f>HYPERLINK("https://www.oit.va.gov/Services/TRM/ToolPage.aspx?tid=7801^","Aniseikonia Inspector (AI)")</f>
        <v>Aniseikonia Inspector (AI)</v>
      </c>
      <c r="B6040" s="4" t="s">
        <v>7442</v>
      </c>
      <c r="C6040" s="8" t="s">
        <v>5</v>
      </c>
      <c r="D6040" s="11" t="s">
        <v>7443</v>
      </c>
    </row>
    <row r="6041" spans="1:4" ht="30">
      <c r="A6041" s="5" t="str">
        <f>HYPERLINK("https://www.oit.va.gov/Services/TRM/ToolPage.aspx?tid=14864^","Rx Universe")</f>
        <v>Rx Universe</v>
      </c>
      <c r="B6041" s="4" t="s">
        <v>260</v>
      </c>
      <c r="C6041" s="8" t="s">
        <v>5</v>
      </c>
      <c r="D6041" s="11" t="s">
        <v>261</v>
      </c>
    </row>
    <row r="6042" spans="1:4" ht="30">
      <c r="A6042" s="5" t="str">
        <f>HYPERLINK("https://www.oit.va.gov/Services/TRM/ToolPage.aspx?tid=7250^","OPN-2001 Companion Application Download Utility")</f>
        <v>OPN-2001 Companion Application Download Utility</v>
      </c>
      <c r="B6042" s="4" t="s">
        <v>5981</v>
      </c>
      <c r="C6042" s="8" t="s">
        <v>5</v>
      </c>
      <c r="D6042" s="11" t="s">
        <v>2990</v>
      </c>
    </row>
    <row r="6043" spans="1:4" ht="30">
      <c r="A6043" s="5" t="str">
        <f>HYPERLINK("https://www.oit.va.gov/Services/TRM/ToolPage.aspx?tid=14930^","OPN-2006 Software")</f>
        <v>OPN-2006 Software</v>
      </c>
      <c r="B6043" s="4" t="s">
        <v>5981</v>
      </c>
      <c r="C6043" s="8" t="s">
        <v>5</v>
      </c>
      <c r="D6043" s="11" t="s">
        <v>2823</v>
      </c>
    </row>
    <row r="6044" spans="1:4" ht="30">
      <c r="A6044" s="5" t="str">
        <f>HYPERLINK("https://www.oit.va.gov/Services/TRM/ToolPage.aspx?tid=9233^","eVideon Interactive Patient Care Television System")</f>
        <v>eVideon Interactive Patient Care Television System</v>
      </c>
      <c r="B6044" s="4" t="s">
        <v>5803</v>
      </c>
      <c r="C6044" s="8" t="s">
        <v>5</v>
      </c>
      <c r="D6044" s="11" t="s">
        <v>5804</v>
      </c>
    </row>
    <row r="6045" spans="1:4" ht="30">
      <c r="A6045" s="5" t="str">
        <f>HYPERLINK("https://www.oit.va.gov/Services/TRM/ToolPage.aspx?tid=9751^","OptionPower")</f>
        <v>OptionPower</v>
      </c>
      <c r="B6045" s="4" t="s">
        <v>5405</v>
      </c>
      <c r="C6045" s="8" t="s">
        <v>5</v>
      </c>
      <c r="D6045" s="11" t="s">
        <v>2553</v>
      </c>
    </row>
    <row r="6046" spans="1:4" ht="30">
      <c r="A6046" s="5" t="str">
        <f>HYPERLINK("https://www.oit.va.gov/Services/TRM/ToolPage.aspx?tid=15144^","Optivision Laboratory Management System (LMS)")</f>
        <v>Optivision Laboratory Management System (LMS)</v>
      </c>
      <c r="B6046" s="4" t="s">
        <v>5982</v>
      </c>
      <c r="C6046" s="8" t="s">
        <v>5</v>
      </c>
      <c r="D6046" s="11" t="s">
        <v>5983</v>
      </c>
    </row>
    <row r="6047" spans="1:4" ht="30">
      <c r="A6047" s="5" t="str">
        <f>HYPERLINK("https://www.oit.va.gov/Services/TRM/ToolPage.aspx?tid=9927^","OptiMRI")</f>
        <v>OptiMRI</v>
      </c>
      <c r="B6047" s="4" t="s">
        <v>1810</v>
      </c>
      <c r="C6047" s="8" t="s">
        <v>5</v>
      </c>
      <c r="D6047" s="11" t="s">
        <v>1811</v>
      </c>
    </row>
    <row r="6048" spans="1:4" ht="30">
      <c r="A6048" s="5" t="str">
        <f>HYPERLINK("https://www.oit.va.gov/Services/TRM/ToolPage.aspx?tid=13029^","V2 Vantage Pro")</f>
        <v>V2 Vantage Pro</v>
      </c>
      <c r="B6048" s="4" t="s">
        <v>8858</v>
      </c>
      <c r="C6048" s="8" t="s">
        <v>5</v>
      </c>
      <c r="D6048" s="11" t="s">
        <v>7449</v>
      </c>
    </row>
    <row r="6049" spans="1:4" ht="30">
      <c r="A6049" s="5" t="str">
        <f>HYPERLINK("https://www.oit.va.gov/Services/TRM/ToolPage.aspx?tid=15280^","RINCON HD CAPTURE Image Capture Software")</f>
        <v>RINCON HD CAPTURE Image Capture Software</v>
      </c>
      <c r="B6049" s="4" t="s">
        <v>6046</v>
      </c>
      <c r="C6049" s="8" t="s">
        <v>5</v>
      </c>
      <c r="D6049" s="11" t="s">
        <v>477</v>
      </c>
    </row>
    <row r="6050" spans="1:4" ht="30">
      <c r="A6050" s="5" t="str">
        <f>HYPERLINK("https://www.oit.va.gov/Services/TRM/ToolPage.aspx?tid=16824^","Globalscape EFT")</f>
        <v>Globalscape EFT</v>
      </c>
      <c r="B6050" s="4" t="s">
        <v>1007</v>
      </c>
      <c r="C6050" s="8" t="s">
        <v>5</v>
      </c>
      <c r="D6050" s="11" t="s">
        <v>1008</v>
      </c>
    </row>
    <row r="6051" spans="1:4" ht="30">
      <c r="A6051" s="5" t="str">
        <f>HYPERLINK("https://www.oit.va.gov/Services/TRM/ToolPage.aspx?tid=13347^","Patient Reported Outcome CoRE (PRO CoRE)")</f>
        <v>Patient Reported Outcome CoRE (PRO CoRE)</v>
      </c>
      <c r="B6051" s="4" t="s">
        <v>1007</v>
      </c>
      <c r="C6051" s="8" t="s">
        <v>5</v>
      </c>
      <c r="D6051" s="11" t="s">
        <v>3445</v>
      </c>
    </row>
    <row r="6052" spans="1:4" ht="30">
      <c r="A6052" s="5" t="str">
        <f>HYPERLINK("https://www.oit.va.gov/Services/TRM/ToolPage.aspx?tid=16881^","Phoenix SQL Lite Fuel Management Software")</f>
        <v>Phoenix SQL Lite Fuel Management Software</v>
      </c>
      <c r="B6052" s="4" t="s">
        <v>7000</v>
      </c>
      <c r="C6052" s="8" t="s">
        <v>5</v>
      </c>
      <c r="D6052" s="11" t="s">
        <v>7001</v>
      </c>
    </row>
    <row r="6053" spans="1:4" ht="30">
      <c r="A6053" s="5" t="str">
        <f>HYPERLINK("https://www.oit.va.gov/Services/TRM/ToolPage.aspx?tid=11268^","OQ-Analyst")</f>
        <v>OQ-Analyst</v>
      </c>
      <c r="B6053" s="4" t="s">
        <v>8372</v>
      </c>
      <c r="C6053" s="8" t="s">
        <v>5</v>
      </c>
      <c r="D6053" s="11" t="s">
        <v>5431</v>
      </c>
    </row>
    <row r="6054" spans="1:4" ht="30">
      <c r="A6054" s="5" t="str">
        <f>HYPERLINK("https://www.oit.va.gov/Services/TRM/ToolPage.aspx?tid=15403^","Oqton Freeform")</f>
        <v>Oqton Freeform</v>
      </c>
      <c r="B6054" s="4" t="s">
        <v>4559</v>
      </c>
      <c r="C6054" s="8" t="s">
        <v>5</v>
      </c>
      <c r="D6054" s="11" t="s">
        <v>2039</v>
      </c>
    </row>
    <row r="6055" spans="1:4" ht="30">
      <c r="A6055" s="5" t="str">
        <f>HYPERLINK("https://www.oit.va.gov/Services/TRM/StandardPage.aspx?tid=22^","Java SE")</f>
        <v>Java SE</v>
      </c>
      <c r="B6055" s="4" t="s">
        <v>134</v>
      </c>
      <c r="C6055" s="8" t="s">
        <v>5</v>
      </c>
      <c r="D6055" s="11" t="s">
        <v>135</v>
      </c>
    </row>
    <row r="6056" spans="1:4" ht="30">
      <c r="A6056" s="5" t="str">
        <f>HYPERLINK("https://www.oit.va.gov/Services/TRM/ToolPage.aspx?tid=14374^","My Structured Query Language (MySQL) Database - Commercial Editions")</f>
        <v>My Structured Query Language (MySQL) Database - Commercial Editions</v>
      </c>
      <c r="B6056" s="4" t="s">
        <v>134</v>
      </c>
      <c r="C6056" s="8" t="s">
        <v>5</v>
      </c>
      <c r="D6056" s="11" t="s">
        <v>138</v>
      </c>
    </row>
    <row r="6057" spans="1:4" ht="30">
      <c r="A6057" s="5" t="str">
        <f>HYPERLINK("https://www.oit.va.gov/Services/TRM/StandardPage.aspx?tid=8^","Java Enterprise Edition (Java EE)")</f>
        <v>Java Enterprise Edition (Java EE)</v>
      </c>
      <c r="B6057" s="4" t="s">
        <v>134</v>
      </c>
      <c r="C6057" s="8" t="s">
        <v>5</v>
      </c>
      <c r="D6057" s="11" t="s">
        <v>309</v>
      </c>
    </row>
    <row r="6058" spans="1:4" ht="30">
      <c r="A6058" s="5" t="str">
        <f>HYPERLINK("https://www.oit.va.gov/Services/TRM/ToolPage.aspx?tid=13837^","Oracle E-Business Suite Financials")</f>
        <v>Oracle E-Business Suite Financials</v>
      </c>
      <c r="B6058" s="4" t="s">
        <v>134</v>
      </c>
      <c r="C6058" s="8" t="s">
        <v>5</v>
      </c>
      <c r="D6058" s="11" t="s">
        <v>316</v>
      </c>
    </row>
    <row r="6059" spans="1:4" ht="30">
      <c r="A6059" s="5" t="str">
        <f>HYPERLINK("https://www.oit.va.gov/Services/TRM/ToolPage.aspx?tid=164^","Oracle Tuxedo")</f>
        <v>Oracle Tuxedo</v>
      </c>
      <c r="B6059" s="4" t="s">
        <v>134</v>
      </c>
      <c r="C6059" s="8" t="s">
        <v>5</v>
      </c>
      <c r="D6059" s="11" t="s">
        <v>794</v>
      </c>
    </row>
    <row r="6060" spans="1:4" ht="30">
      <c r="A6060" s="5" t="str">
        <f>HYPERLINK("https://www.oit.va.gov/Services/TRM/ToolPage.aspx?tid=9176^","Concurrent")</f>
        <v>Concurrent</v>
      </c>
      <c r="B6060" s="4" t="s">
        <v>134</v>
      </c>
      <c r="C6060" s="8" t="s">
        <v>5</v>
      </c>
      <c r="D6060" s="11" t="s">
        <v>955</v>
      </c>
    </row>
    <row r="6061" spans="1:4" ht="30">
      <c r="A6061" s="5" t="str">
        <f>HYPERLINK("https://www.oit.va.gov/Services/TRM/StandardPage.aspx?tid=5200^","Portlet")</f>
        <v>Portlet</v>
      </c>
      <c r="B6061" s="4" t="s">
        <v>134</v>
      </c>
      <c r="C6061" s="8" t="s">
        <v>5</v>
      </c>
      <c r="D6061" s="11" t="s">
        <v>1241</v>
      </c>
    </row>
    <row r="6062" spans="1:4" ht="30">
      <c r="A6062" s="5" t="str">
        <f>HYPERLINK("https://www.oit.va.gov/Services/TRM/ToolPage.aspx?tid=5161^","JDK - Oracle Java Standard Edition (SE) Development Kit")</f>
        <v>JDK - Oracle Java Standard Edition (SE) Development Kit</v>
      </c>
      <c r="B6062" s="4" t="s">
        <v>134</v>
      </c>
      <c r="C6062" s="8" t="s">
        <v>5</v>
      </c>
      <c r="D6062" s="11" t="s">
        <v>1672</v>
      </c>
    </row>
    <row r="6063" spans="1:4" ht="30">
      <c r="A6063" s="5" t="str">
        <f>HYPERLINK("https://www.oit.va.gov/Services/TRM/ToolPage.aspx?tid=6330^","Oracle Analytics Publisher")</f>
        <v>Oracle Analytics Publisher</v>
      </c>
      <c r="B6063" s="4" t="s">
        <v>134</v>
      </c>
      <c r="C6063" s="8" t="s">
        <v>5</v>
      </c>
      <c r="D6063" s="11" t="s">
        <v>1812</v>
      </c>
    </row>
    <row r="6064" spans="1:4" ht="30">
      <c r="A6064" s="5" t="str">
        <f>HYPERLINK("https://www.oit.va.gov/Services/TRM/ToolPage.aspx?tid=14294^","Oracle ASR (Auto Service Request)")</f>
        <v>Oracle ASR (Auto Service Request)</v>
      </c>
      <c r="B6064" s="4" t="s">
        <v>134</v>
      </c>
      <c r="C6064" s="8" t="s">
        <v>5</v>
      </c>
      <c r="D6064" s="11" t="s">
        <v>1813</v>
      </c>
    </row>
    <row r="6065" spans="1:4" ht="30">
      <c r="A6065" s="5" t="str">
        <f>HYPERLINK("https://www.oit.va.gov/Services/TRM/ToolPage.aspx?tid=6909^","Oracle Business-to-Business Integration")</f>
        <v>Oracle Business-to-Business Integration</v>
      </c>
      <c r="B6065" s="4" t="s">
        <v>134</v>
      </c>
      <c r="C6065" s="8" t="s">
        <v>5</v>
      </c>
      <c r="D6065" s="11" t="s">
        <v>1245</v>
      </c>
    </row>
    <row r="6066" spans="1:4" ht="30">
      <c r="A6066" s="5" t="str">
        <f>HYPERLINK("https://www.oit.va.gov/Services/TRM/ToolPage.aspx?tid=1236^","Oracle Client")</f>
        <v>Oracle Client</v>
      </c>
      <c r="B6066" s="4" t="s">
        <v>134</v>
      </c>
      <c r="C6066" s="8" t="s">
        <v>5</v>
      </c>
      <c r="D6066" s="11" t="s">
        <v>1814</v>
      </c>
    </row>
    <row r="6067" spans="1:4" ht="30">
      <c r="A6067" s="5" t="str">
        <f>HYPERLINK("https://www.oit.va.gov/Services/TRM/ToolPage.aspx?tid=9^","Oracle Database")</f>
        <v>Oracle Database</v>
      </c>
      <c r="B6067" s="4" t="s">
        <v>134</v>
      </c>
      <c r="C6067" s="8" t="s">
        <v>5</v>
      </c>
      <c r="D6067" s="11" t="s">
        <v>794</v>
      </c>
    </row>
    <row r="6068" spans="1:4" ht="30">
      <c r="A6068" s="5" t="str">
        <f>HYPERLINK("https://www.oit.va.gov/Services/TRM/ToolPage.aspx?tid=6533^","Oracle Enterprise Manager (OEM)")</f>
        <v>Oracle Enterprise Manager (OEM)</v>
      </c>
      <c r="B6068" s="4" t="s">
        <v>134</v>
      </c>
      <c r="C6068" s="8" t="s">
        <v>5</v>
      </c>
      <c r="D6068" s="11" t="s">
        <v>1815</v>
      </c>
    </row>
    <row r="6069" spans="1:4" ht="30">
      <c r="A6069" s="5" t="str">
        <f>HYPERLINK("https://www.oit.va.gov/Services/TRM/ToolPage.aspx?tid=7233^","Oracle GoldenGate")</f>
        <v>Oracle GoldenGate</v>
      </c>
      <c r="B6069" s="4" t="s">
        <v>134</v>
      </c>
      <c r="C6069" s="8" t="s">
        <v>5</v>
      </c>
      <c r="D6069" s="11" t="s">
        <v>1815</v>
      </c>
    </row>
    <row r="6070" spans="1:4" ht="30">
      <c r="A6070" s="5" t="str">
        <f>HYPERLINK("https://www.oit.va.gov/Services/TRM/ToolPage.aspx?tid=16564^","Oracle GoldenGate Veridata")</f>
        <v>Oracle GoldenGate Veridata</v>
      </c>
      <c r="B6070" s="4" t="s">
        <v>134</v>
      </c>
      <c r="C6070" s="8" t="s">
        <v>5</v>
      </c>
      <c r="D6070" s="11" t="s">
        <v>1816</v>
      </c>
    </row>
    <row r="6071" spans="1:4" ht="30">
      <c r="A6071" s="5" t="str">
        <f>HYPERLINK("https://www.oit.va.gov/Services/TRM/ToolPage.aspx?tid=6503^","Oracle Hypertext Transfer Protocol (HTTP) Server")</f>
        <v>Oracle Hypertext Transfer Protocol (HTTP) Server</v>
      </c>
      <c r="B6071" s="4" t="s">
        <v>134</v>
      </c>
      <c r="C6071" s="8" t="s">
        <v>5</v>
      </c>
      <c r="D6071" s="11" t="s">
        <v>1813</v>
      </c>
    </row>
    <row r="6072" spans="1:4" ht="30">
      <c r="A6072" s="5" t="str">
        <f>HYPERLINK("https://www.oit.va.gov/Services/TRM/ToolPage.aspx?tid=7651^","Oracle Linux")</f>
        <v>Oracle Linux</v>
      </c>
      <c r="B6072" s="4" t="s">
        <v>134</v>
      </c>
      <c r="C6072" s="8" t="s">
        <v>5</v>
      </c>
      <c r="D6072" s="11" t="s">
        <v>850</v>
      </c>
    </row>
    <row r="6073" spans="1:4" ht="30">
      <c r="A6073" s="5" t="str">
        <f>HYPERLINK("https://www.oit.va.gov/Services/TRM/ToolPage.aspx?tid=6986^","Oracle Load Testing (OLT)")</f>
        <v>Oracle Load Testing (OLT)</v>
      </c>
      <c r="B6073" s="4" t="s">
        <v>134</v>
      </c>
      <c r="C6073" s="8" t="s">
        <v>5</v>
      </c>
      <c r="D6073" s="11" t="s">
        <v>1817</v>
      </c>
    </row>
    <row r="6074" spans="1:4" ht="30">
      <c r="A6074" s="5" t="str">
        <f>HYPERLINK("https://www.oit.va.gov/Services/TRM/ToolPage.aspx?tid=6987^","Oracle Online Analytical Processing (OLAP)")</f>
        <v>Oracle Online Analytical Processing (OLAP)</v>
      </c>
      <c r="B6074" s="4" t="s">
        <v>134</v>
      </c>
      <c r="C6074" s="8" t="s">
        <v>5</v>
      </c>
      <c r="D6074" s="11" t="s">
        <v>1815</v>
      </c>
    </row>
    <row r="6075" spans="1:4" ht="30">
      <c r="A6075" s="5" t="str">
        <f>HYPERLINK("https://www.oit.va.gov/Services/TRM/ToolPage.aspx?tid=15986^","Oracle REST Data Services (ORDS)")</f>
        <v>Oracle REST Data Services (ORDS)</v>
      </c>
      <c r="B6075" s="4" t="s">
        <v>134</v>
      </c>
      <c r="C6075" s="8" t="s">
        <v>5</v>
      </c>
      <c r="D6075" s="11" t="s">
        <v>201</v>
      </c>
    </row>
    <row r="6076" spans="1:4" ht="30">
      <c r="A6076" s="5" t="str">
        <f>HYPERLINK("https://www.oit.va.gov/Services/TRM/ToolPage.aspx?tid=11302^","Oracle Retail Merchandise Financial Planning")</f>
        <v>Oracle Retail Merchandise Financial Planning</v>
      </c>
      <c r="B6076" s="4" t="s">
        <v>134</v>
      </c>
      <c r="C6076" s="8" t="s">
        <v>5</v>
      </c>
      <c r="D6076" s="11" t="s">
        <v>1818</v>
      </c>
    </row>
    <row r="6077" spans="1:4" ht="30">
      <c r="A6077" s="5" t="str">
        <f>HYPERLINK("https://www.oit.va.gov/Services/TRM/ToolPage.aspx?tid=6210^","Oracle Service Bus")</f>
        <v>Oracle Service Bus</v>
      </c>
      <c r="B6077" s="4" t="s">
        <v>134</v>
      </c>
      <c r="C6077" s="8" t="s">
        <v>5</v>
      </c>
      <c r="D6077" s="11" t="s">
        <v>1815</v>
      </c>
    </row>
    <row r="6078" spans="1:4" ht="30">
      <c r="A6078" s="5" t="str">
        <f>HYPERLINK("https://www.oit.va.gov/Services/TRM/ToolPage.aspx?tid=5850^","Oracle Structured Query Language (SQL) Developer")</f>
        <v>Oracle Structured Query Language (SQL) Developer</v>
      </c>
      <c r="B6078" s="4" t="s">
        <v>134</v>
      </c>
      <c r="C6078" s="8" t="s">
        <v>5</v>
      </c>
      <c r="D6078" s="11" t="s">
        <v>1819</v>
      </c>
    </row>
    <row r="6079" spans="1:4" ht="30">
      <c r="A6079" s="5" t="str">
        <f>HYPERLINK("https://www.oit.va.gov/Services/TRM/ToolPage.aspx?tid=5699^","Primavera P6 Enterprise Professional Project Management (EPPM)")</f>
        <v>Primavera P6 Enterprise Professional Project Management (EPPM)</v>
      </c>
      <c r="B6079" s="4" t="s">
        <v>134</v>
      </c>
      <c r="C6079" s="8" t="s">
        <v>5</v>
      </c>
      <c r="D6079" s="11" t="s">
        <v>1812</v>
      </c>
    </row>
    <row r="6080" spans="1:4" ht="30">
      <c r="A6080" s="5" t="str">
        <f>HYPERLINK("https://www.oit.va.gov/Services/TRM/ToolPage.aspx?tid=7^","WebLogic Server")</f>
        <v>WebLogic Server</v>
      </c>
      <c r="B6080" s="4" t="s">
        <v>134</v>
      </c>
      <c r="C6080" s="8" t="s">
        <v>5</v>
      </c>
      <c r="D6080" s="11" t="s">
        <v>2054</v>
      </c>
    </row>
    <row r="6081" spans="1:4" ht="30">
      <c r="A6081" s="5" t="str">
        <f>HYPERLINK("https://www.oit.va.gov/Services/TRM/ToolPage.aspx?tid=13184^","Solstice Enterprise Agent")</f>
        <v>Solstice Enterprise Agent</v>
      </c>
      <c r="B6081" s="4" t="s">
        <v>134</v>
      </c>
      <c r="C6081" s="8" t="s">
        <v>5</v>
      </c>
      <c r="D6081" s="11" t="s">
        <v>2187</v>
      </c>
    </row>
    <row r="6082" spans="1:4" ht="30">
      <c r="A6082" s="5" t="str">
        <f>HYPERLINK("https://www.oit.va.gov/Services/TRM/ToolPage.aspx?tid=45^","Java Architecture for Extensible Markup Language (XML) Binding (JAXB) Reference Implementation (RI)")</f>
        <v>Java Architecture for Extensible Markup Language (XML) Binding (JAXB) Reference Implementation (RI)</v>
      </c>
      <c r="B6082" s="4" t="s">
        <v>134</v>
      </c>
      <c r="C6082" s="8" t="s">
        <v>5</v>
      </c>
      <c r="D6082" s="11" t="s">
        <v>679</v>
      </c>
    </row>
    <row r="6083" spans="1:4" ht="30">
      <c r="A6083" s="5" t="str">
        <f>HYPERLINK("https://www.oit.va.gov/Services/TRM/ToolPage.aspx?tid=16501^","Oracle Client for Microsoft Tools")</f>
        <v>Oracle Client for Microsoft Tools</v>
      </c>
      <c r="B6083" s="4" t="s">
        <v>134</v>
      </c>
      <c r="C6083" s="8" t="s">
        <v>5</v>
      </c>
      <c r="D6083" s="11" t="s">
        <v>2336</v>
      </c>
    </row>
    <row r="6084" spans="1:4" ht="30">
      <c r="A6084" s="5" t="str">
        <f>HYPERLINK("https://www.oit.va.gov/Services/TRM/ToolPage.aspx?tid=7071^","Oracle Developer Studio")</f>
        <v>Oracle Developer Studio</v>
      </c>
      <c r="B6084" s="4" t="s">
        <v>134</v>
      </c>
      <c r="C6084" s="8" t="s">
        <v>5</v>
      </c>
      <c r="D6084" s="11" t="s">
        <v>2829</v>
      </c>
    </row>
    <row r="6085" spans="1:4" ht="30">
      <c r="A6085" s="5" t="str">
        <f>HYPERLINK("https://www.oit.va.gov/Services/TRM/ToolPage.aspx?tid=5828^","Oracle Forms")</f>
        <v>Oracle Forms</v>
      </c>
      <c r="B6085" s="4" t="s">
        <v>134</v>
      </c>
      <c r="C6085" s="8" t="s">
        <v>5</v>
      </c>
      <c r="D6085" s="11" t="s">
        <v>1815</v>
      </c>
    </row>
    <row r="6086" spans="1:4" ht="30">
      <c r="A6086" s="5" t="str">
        <f>HYPERLINK("https://www.oit.va.gov/Services/TRM/ToolPage.aspx?tid=32^","Oracle Java Database Connectivity (JDBC) Drivers")</f>
        <v>Oracle Java Database Connectivity (JDBC) Drivers</v>
      </c>
      <c r="B6086" s="4" t="s">
        <v>134</v>
      </c>
      <c r="C6086" s="8" t="s">
        <v>5</v>
      </c>
      <c r="D6086" s="11" t="s">
        <v>2830</v>
      </c>
    </row>
    <row r="6087" spans="1:4" ht="30">
      <c r="A6087" s="5" t="str">
        <f>HYPERLINK("https://www.oit.va.gov/Services/TRM/ToolPage.aspx?tid=13808^","Oracle Retail Merchandising System")</f>
        <v>Oracle Retail Merchandising System</v>
      </c>
      <c r="B6087" s="4" t="s">
        <v>134</v>
      </c>
      <c r="C6087" s="8" t="s">
        <v>5</v>
      </c>
      <c r="D6087" s="11" t="s">
        <v>2831</v>
      </c>
    </row>
    <row r="6088" spans="1:4" ht="30">
      <c r="A6088" s="5" t="str">
        <f>HYPERLINK("https://www.oit.va.gov/Services/TRM/ToolPage.aspx?tid=11314^","Oracle Smart View for Office")</f>
        <v>Oracle Smart View for Office</v>
      </c>
      <c r="B6088" s="4" t="s">
        <v>134</v>
      </c>
      <c r="C6088" s="8" t="s">
        <v>5</v>
      </c>
      <c r="D6088" s="11" t="s">
        <v>2832</v>
      </c>
    </row>
    <row r="6089" spans="1:4" ht="30">
      <c r="A6089" s="5" t="str">
        <f>HYPERLINK("https://www.oit.va.gov/Services/TRM/ToolPage.aspx?tid=11245^","Oracle SuperCluster")</f>
        <v>Oracle SuperCluster</v>
      </c>
      <c r="B6089" s="4" t="s">
        <v>134</v>
      </c>
      <c r="C6089" s="8" t="s">
        <v>5</v>
      </c>
      <c r="D6089" s="11" t="s">
        <v>2455</v>
      </c>
    </row>
    <row r="6090" spans="1:4" ht="30">
      <c r="A6090" s="5" t="str">
        <f>HYPERLINK("https://www.oit.va.gov/Services/TRM/ToolPage.aspx?tid=6679^","VirtualBox")</f>
        <v>VirtualBox</v>
      </c>
      <c r="B6090" s="4" t="s">
        <v>134</v>
      </c>
      <c r="C6090" s="8" t="s">
        <v>5</v>
      </c>
      <c r="D6090" s="11" t="s">
        <v>1890</v>
      </c>
    </row>
    <row r="6091" spans="1:4" ht="30">
      <c r="A6091" s="5" t="str">
        <f>HYPERLINK("https://www.oit.va.gov/Services/TRM/ToolPage.aspx?tid=6017^","Java Access Bridge (JAB)")</f>
        <v>Java Access Bridge (JAB)</v>
      </c>
      <c r="B6091" s="4" t="s">
        <v>134</v>
      </c>
      <c r="C6091" s="8" t="s">
        <v>5</v>
      </c>
      <c r="D6091" s="11" t="s">
        <v>818</v>
      </c>
    </row>
    <row r="6092" spans="1:4" ht="30">
      <c r="A6092" s="5" t="str">
        <f>HYPERLINK("https://www.oit.va.gov/Services/TRM/ToolPage.aspx?tid=5165^","Java Runtime Environment (JRE) - Oracle")</f>
        <v>Java Runtime Environment (JRE) - Oracle</v>
      </c>
      <c r="B6092" s="4" t="s">
        <v>134</v>
      </c>
      <c r="C6092" s="8" t="s">
        <v>5</v>
      </c>
      <c r="D6092" s="11" t="s">
        <v>3351</v>
      </c>
    </row>
    <row r="6093" spans="1:4" ht="30">
      <c r="A6093" s="5" t="str">
        <f>HYPERLINK("https://www.oit.va.gov/Services/TRM/ToolPage.aspx?tid=160^","Java Runtime Environment (JRE) for JRockit")</f>
        <v>Java Runtime Environment (JRE) for JRockit</v>
      </c>
      <c r="B6093" s="4" t="s">
        <v>134</v>
      </c>
      <c r="C6093" s="8" t="s">
        <v>5</v>
      </c>
      <c r="D6093" s="11" t="s">
        <v>3352</v>
      </c>
    </row>
    <row r="6094" spans="1:4" ht="30">
      <c r="A6094" s="5" t="str">
        <f>HYPERLINK("https://www.oit.va.gov/Services/TRM/ToolPage.aspx?tid=6209^","My Structured Query Language (MySQL) Database - Community Editions")</f>
        <v>My Structured Query Language (MySQL) Database - Community Editions</v>
      </c>
      <c r="B6094" s="4" t="s">
        <v>134</v>
      </c>
      <c r="C6094" s="8" t="s">
        <v>5</v>
      </c>
      <c r="D6094" s="11" t="s">
        <v>930</v>
      </c>
    </row>
    <row r="6095" spans="1:4" ht="30">
      <c r="A6095" s="5" t="str">
        <f>HYPERLINK("https://www.oit.va.gov/Services/TRM/ToolPage.aspx?tid=13408^","Open Java Development Kit (OpenJDK)")</f>
        <v>Open Java Development Kit (OpenJDK)</v>
      </c>
      <c r="B6095" s="4" t="s">
        <v>134</v>
      </c>
      <c r="C6095" s="8" t="s">
        <v>5</v>
      </c>
      <c r="D6095" s="11" t="s">
        <v>3253</v>
      </c>
    </row>
    <row r="6096" spans="1:4" ht="30">
      <c r="A6096" s="5" t="str">
        <f>HYPERLINK("https://www.oit.va.gov/Services/TRM/ToolPage.aspx?tid=13838^","Oracle Application Server")</f>
        <v>Oracle Application Server</v>
      </c>
      <c r="B6096" s="4" t="s">
        <v>134</v>
      </c>
      <c r="C6096" s="8" t="s">
        <v>5</v>
      </c>
      <c r="D6096" s="11" t="s">
        <v>1212</v>
      </c>
    </row>
    <row r="6097" spans="1:4" ht="30">
      <c r="A6097" s="5" t="str">
        <f>HYPERLINK("https://www.oit.va.gov/Services/TRM/ToolPage.aspx?tid=7547^","Oracle Business Intelligence Enterprise Edition (OBIEE)")</f>
        <v>Oracle Business Intelligence Enterprise Edition (OBIEE)</v>
      </c>
      <c r="B6097" s="4" t="s">
        <v>134</v>
      </c>
      <c r="C6097" s="8" t="s">
        <v>5</v>
      </c>
      <c r="D6097" s="11" t="s">
        <v>3440</v>
      </c>
    </row>
    <row r="6098" spans="1:4" ht="30">
      <c r="A6098" s="5" t="str">
        <f>HYPERLINK("https://www.oit.va.gov/Services/TRM/ToolPage.aspx?tid=7833^","Oracle Exadata")</f>
        <v>Oracle Exadata</v>
      </c>
      <c r="B6098" s="4" t="s">
        <v>134</v>
      </c>
      <c r="C6098" s="8" t="s">
        <v>5</v>
      </c>
      <c r="D6098" s="11" t="s">
        <v>3441</v>
      </c>
    </row>
    <row r="6099" spans="1:4" ht="30">
      <c r="A6099" s="5" t="str">
        <f>HYPERLINK("https://www.oit.va.gov/Services/TRM/HardwarePage.aspx?tid=6871^","Oracle Exalogic")</f>
        <v>Oracle Exalogic</v>
      </c>
      <c r="B6099" s="4" t="s">
        <v>134</v>
      </c>
      <c r="C6099" s="8" t="s">
        <v>5</v>
      </c>
      <c r="D6099" s="11" t="s">
        <v>3442</v>
      </c>
    </row>
    <row r="6100" spans="1:4" ht="30">
      <c r="A6100" s="5" t="str">
        <f>HYPERLINK("https://www.oit.va.gov/Services/TRM/ToolPage.aspx?tid=6915^","Oracle Integration Adapters")</f>
        <v>Oracle Integration Adapters</v>
      </c>
      <c r="B6100" s="4" t="s">
        <v>134</v>
      </c>
      <c r="C6100" s="8" t="s">
        <v>5</v>
      </c>
      <c r="D6100" s="11" t="s">
        <v>3443</v>
      </c>
    </row>
    <row r="6101" spans="1:4" ht="30">
      <c r="A6101" s="5" t="str">
        <f>HYPERLINK("https://www.oit.va.gov/Services/TRM/ToolPage.aspx?tid=9314^","Oracle Tuxedo System and Administration Monitoring Plus (Oracle TSAM)")</f>
        <v>Oracle Tuxedo System and Administration Monitoring Plus (Oracle TSAM)</v>
      </c>
      <c r="B6101" s="4" t="s">
        <v>134</v>
      </c>
      <c r="C6101" s="8" t="s">
        <v>5</v>
      </c>
      <c r="D6101" s="11" t="s">
        <v>1815</v>
      </c>
    </row>
    <row r="6102" spans="1:4" ht="30">
      <c r="A6102" s="5" t="str">
        <f>HYPERLINK("https://www.oit.va.gov/Services/TRM/ToolPage.aspx?tid=15870^","Java Development Kit (JDK) Mission Control")</f>
        <v>Java Development Kit (JDK) Mission Control</v>
      </c>
      <c r="B6102" s="4" t="s">
        <v>134</v>
      </c>
      <c r="C6102" s="8" t="s">
        <v>5</v>
      </c>
      <c r="D6102" s="11" t="s">
        <v>1650</v>
      </c>
    </row>
    <row r="6103" spans="1:4" ht="30">
      <c r="A6103" s="5" t="str">
        <f>HYPERLINK("https://www.oit.va.gov/Services/TRM/ToolPage.aspx?tid=14548^","Java Enterprise Edition SDK (Software Development Kit)")</f>
        <v>Java Enterprise Edition SDK (Software Development Kit)</v>
      </c>
      <c r="B6103" s="4" t="s">
        <v>134</v>
      </c>
      <c r="C6103" s="8" t="s">
        <v>5</v>
      </c>
      <c r="D6103" s="11" t="s">
        <v>1439</v>
      </c>
    </row>
    <row r="6104" spans="1:4" ht="30">
      <c r="A6104" s="5" t="str">
        <f>HYPERLINK("https://www.oit.va.gov/Services/TRM/StandardPage.aspx?tid=5801^","JavaServer Faces")</f>
        <v>JavaServer Faces</v>
      </c>
      <c r="B6104" s="4" t="s">
        <v>134</v>
      </c>
      <c r="C6104" s="8" t="s">
        <v>5</v>
      </c>
      <c r="D6104" s="11" t="s">
        <v>4304</v>
      </c>
    </row>
    <row r="6105" spans="1:4" ht="30">
      <c r="A6105" s="5" t="str">
        <f>HYPERLINK("https://www.oit.va.gov/Services/TRM/ToolPage.aspx?tid=13482^","MySQL Open Database Connectivity (ODBC) Driver")</f>
        <v>MySQL Open Database Connectivity (ODBC) Driver</v>
      </c>
      <c r="B6105" s="4" t="s">
        <v>134</v>
      </c>
      <c r="C6105" s="8" t="s">
        <v>5</v>
      </c>
      <c r="D6105" s="11" t="s">
        <v>2451</v>
      </c>
    </row>
    <row r="6106" spans="1:4" ht="30">
      <c r="A6106" s="5" t="str">
        <f>HYPERLINK("https://www.oit.va.gov/Services/TRM/ToolPage.aspx?tid=6390^","MySQL Workbench")</f>
        <v>MySQL Workbench</v>
      </c>
      <c r="B6106" s="4" t="s">
        <v>134</v>
      </c>
      <c r="C6106" s="8" t="s">
        <v>5</v>
      </c>
      <c r="D6106" s="11" t="s">
        <v>4468</v>
      </c>
    </row>
    <row r="6107" spans="1:4" ht="30">
      <c r="A6107" s="5" t="str">
        <f>HYPERLINK("https://www.oit.va.gov/Services/TRM/ToolPage.aspx?tid=5450^","Oracle Active Data Guard")</f>
        <v>Oracle Active Data Guard</v>
      </c>
      <c r="B6107" s="4" t="s">
        <v>134</v>
      </c>
      <c r="C6107" s="8" t="s">
        <v>5</v>
      </c>
      <c r="D6107" s="11" t="s">
        <v>1815</v>
      </c>
    </row>
    <row r="6108" spans="1:4" ht="30">
      <c r="A6108" s="5" t="str">
        <f>HYPERLINK("https://www.oit.va.gov/Services/TRM/ToolPage.aspx?tid=16201^","Oracle Analytics Server (OAS)")</f>
        <v>Oracle Analytics Server (OAS)</v>
      </c>
      <c r="B6108" s="4" t="s">
        <v>134</v>
      </c>
      <c r="C6108" s="8" t="s">
        <v>5</v>
      </c>
      <c r="D6108" s="11" t="s">
        <v>4560</v>
      </c>
    </row>
    <row r="6109" spans="1:4" ht="30">
      <c r="A6109" s="5" t="str">
        <f>HYPERLINK("https://www.oit.va.gov/Services/TRM/ToolPage.aspx?tid=14758^","Oracle Application Express (APEX)")</f>
        <v>Oracle Application Express (APEX)</v>
      </c>
      <c r="B6109" s="4" t="s">
        <v>134</v>
      </c>
      <c r="C6109" s="8" t="s">
        <v>5</v>
      </c>
      <c r="D6109" s="11" t="s">
        <v>1563</v>
      </c>
    </row>
    <row r="6110" spans="1:4" ht="30">
      <c r="A6110" s="5" t="str">
        <f>HYPERLINK("https://www.oit.va.gov/Services/TRM/ToolPage.aspx?tid=6910^","Oracle Business Process Execution Language (BPEL) Process Manager")</f>
        <v>Oracle Business Process Execution Language (BPEL) Process Manager</v>
      </c>
      <c r="B6110" s="4" t="s">
        <v>134</v>
      </c>
      <c r="C6110" s="8" t="s">
        <v>5</v>
      </c>
      <c r="D6110" s="11" t="s">
        <v>4561</v>
      </c>
    </row>
    <row r="6111" spans="1:4" ht="30">
      <c r="A6111" s="5" t="str">
        <f>HYPERLINK("https://www.oit.va.gov/Services/TRM/ToolPage.aspx?tid=16758^","Oracle Coherence")</f>
        <v>Oracle Coherence</v>
      </c>
      <c r="B6111" s="4" t="s">
        <v>134</v>
      </c>
      <c r="C6111" s="8" t="s">
        <v>5</v>
      </c>
      <c r="D6111" s="11" t="s">
        <v>2827</v>
      </c>
    </row>
    <row r="6112" spans="1:4" ht="30">
      <c r="A6112" s="5" t="str">
        <f>HYPERLINK("https://www.oit.va.gov/Services/TRM/ToolPage.aspx?tid=16013^","Oracle Crystal Ball")</f>
        <v>Oracle Crystal Ball</v>
      </c>
      <c r="B6112" s="4" t="s">
        <v>134</v>
      </c>
      <c r="C6112" s="8" t="s">
        <v>5</v>
      </c>
      <c r="D6112" s="11" t="s">
        <v>1802</v>
      </c>
    </row>
    <row r="6113" spans="1:4" ht="30">
      <c r="A6113" s="5" t="str">
        <f>HYPERLINK("https://www.oit.va.gov/Services/TRM/ToolPage.aspx?tid=14320^","Oracle Database Gateway")</f>
        <v>Oracle Database Gateway</v>
      </c>
      <c r="B6113" s="4" t="s">
        <v>134</v>
      </c>
      <c r="C6113" s="8" t="s">
        <v>5</v>
      </c>
      <c r="D6113" s="11" t="s">
        <v>1307</v>
      </c>
    </row>
    <row r="6114" spans="1:4" ht="30">
      <c r="A6114" s="5" t="str">
        <f>HYPERLINK("https://www.oit.va.gov/Services/TRM/ToolPage.aspx?tid=14239^","Oracle Developer Tools for Visual Studio (ODT)")</f>
        <v>Oracle Developer Tools for Visual Studio (ODT)</v>
      </c>
      <c r="B6114" s="4" t="s">
        <v>134</v>
      </c>
      <c r="C6114" s="8" t="s">
        <v>5</v>
      </c>
      <c r="D6114" s="11" t="s">
        <v>4491</v>
      </c>
    </row>
    <row r="6115" spans="1:4" ht="30">
      <c r="A6115" s="5" t="str">
        <f>HYPERLINK("https://www.oit.va.gov/Services/TRM/ToolPage.aspx?tid=6276^","Oracle Enterprise Pack for Eclipse (OEPE)")</f>
        <v>Oracle Enterprise Pack for Eclipse (OEPE)</v>
      </c>
      <c r="B6115" s="4" t="s">
        <v>134</v>
      </c>
      <c r="C6115" s="8" t="s">
        <v>5</v>
      </c>
      <c r="D6115" s="11" t="s">
        <v>4281</v>
      </c>
    </row>
    <row r="6116" spans="1:4" ht="30">
      <c r="A6116" s="5" t="str">
        <f>HYPERLINK("https://www.oit.va.gov/Services/TRM/ToolPage.aspx?tid=8269^","Oracle Hyperion Financial Management")</f>
        <v>Oracle Hyperion Financial Management</v>
      </c>
      <c r="B6116" s="4" t="s">
        <v>134</v>
      </c>
      <c r="C6116" s="8" t="s">
        <v>5</v>
      </c>
      <c r="D6116" s="11" t="s">
        <v>88</v>
      </c>
    </row>
    <row r="6117" spans="1:4" ht="30">
      <c r="A6117" s="5" t="str">
        <f>HYPERLINK("https://www.oit.va.gov/Services/TRM/ToolPage.aspx?tid=5829^","Oracle JDeveloper")</f>
        <v>Oracle JDeveloper</v>
      </c>
      <c r="B6117" s="4" t="s">
        <v>134</v>
      </c>
      <c r="C6117" s="8" t="s">
        <v>5</v>
      </c>
      <c r="D6117" s="11" t="s">
        <v>4562</v>
      </c>
    </row>
    <row r="6118" spans="1:4" ht="30">
      <c r="A6118" s="5" t="str">
        <f>HYPERLINK("https://www.oit.va.gov/Services/TRM/ToolPage.aspx?tid=264^","Oracle Open Database Connectivity (ODBC) Driver")</f>
        <v>Oracle Open Database Connectivity (ODBC) Driver</v>
      </c>
      <c r="B6118" s="4" t="s">
        <v>134</v>
      </c>
      <c r="C6118" s="8" t="s">
        <v>5</v>
      </c>
      <c r="D6118" s="11" t="s">
        <v>4563</v>
      </c>
    </row>
    <row r="6119" spans="1:4" ht="30">
      <c r="A6119" s="5" t="str">
        <f>HYPERLINK("https://www.oit.va.gov/Services/TRM/ToolPage.aspx?tid=5830^","Oracle Reports")</f>
        <v>Oracle Reports</v>
      </c>
      <c r="B6119" s="4" t="s">
        <v>134</v>
      </c>
      <c r="C6119" s="8" t="s">
        <v>5</v>
      </c>
      <c r="D6119" s="11" t="s">
        <v>3101</v>
      </c>
    </row>
    <row r="6120" spans="1:4" ht="30">
      <c r="A6120" s="5" t="str">
        <f>HYPERLINK("https://www.oit.va.gov/Services/TRM/ToolPage.aspx?tid=14746^","Oracle Retail Integration Bus Hospital Administration")</f>
        <v>Oracle Retail Integration Bus Hospital Administration</v>
      </c>
      <c r="B6120" s="4" t="s">
        <v>134</v>
      </c>
      <c r="C6120" s="8" t="s">
        <v>5</v>
      </c>
      <c r="D6120" s="11" t="s">
        <v>4564</v>
      </c>
    </row>
    <row r="6121" spans="1:4" ht="30">
      <c r="A6121" s="5" t="str">
        <f>HYPERLINK("https://www.oit.va.gov/Services/TRM/ToolPage.aspx?tid=13831^","Oracle Retail Invoice Matching")</f>
        <v>Oracle Retail Invoice Matching</v>
      </c>
      <c r="B6121" s="4" t="s">
        <v>134</v>
      </c>
      <c r="C6121" s="8" t="s">
        <v>5</v>
      </c>
      <c r="D6121" s="11" t="s">
        <v>1844</v>
      </c>
    </row>
    <row r="6122" spans="1:4" ht="30">
      <c r="A6122" s="5" t="str">
        <f>HYPERLINK("https://www.oit.va.gov/Services/TRM/ToolPage.aspx?tid=13834^","Oracle Retail Price Management")</f>
        <v>Oracle Retail Price Management</v>
      </c>
      <c r="B6122" s="4" t="s">
        <v>134</v>
      </c>
      <c r="C6122" s="8" t="s">
        <v>5</v>
      </c>
      <c r="D6122" s="11" t="s">
        <v>756</v>
      </c>
    </row>
    <row r="6123" spans="1:4" ht="30">
      <c r="A6123" s="5" t="str">
        <f>HYPERLINK("https://www.oit.va.gov/Services/TRM/ToolPage.aspx?tid=13875^","Oracle Retail Sales Audit")</f>
        <v>Oracle Retail Sales Audit</v>
      </c>
      <c r="B6123" s="4" t="s">
        <v>134</v>
      </c>
      <c r="C6123" s="8" t="s">
        <v>5</v>
      </c>
      <c r="D6123" s="11" t="s">
        <v>4409</v>
      </c>
    </row>
    <row r="6124" spans="1:4" ht="30">
      <c r="A6124" s="5" t="str">
        <f>HYPERLINK("https://www.oit.va.gov/Services/TRM/ToolPage.aspx?tid=14156^","Oracle Structured Query Language (SQL) Developer Data Modeler")</f>
        <v>Oracle Structured Query Language (SQL) Developer Data Modeler</v>
      </c>
      <c r="B6124" s="4" t="s">
        <v>134</v>
      </c>
      <c r="C6124" s="8" t="s">
        <v>5</v>
      </c>
      <c r="D6124" s="11" t="s">
        <v>1803</v>
      </c>
    </row>
    <row r="6125" spans="1:4" ht="30">
      <c r="A6125" s="5" t="str">
        <f>HYPERLINK("https://www.oit.va.gov/Services/TRM/ToolPage.aspx?tid=14638^","Oracle Unified Directory (OUD)")</f>
        <v>Oracle Unified Directory (OUD)</v>
      </c>
      <c r="B6125" s="4" t="s">
        <v>134</v>
      </c>
      <c r="C6125" s="8" t="s">
        <v>5</v>
      </c>
      <c r="D6125" s="11" t="s">
        <v>4565</v>
      </c>
    </row>
    <row r="6126" spans="1:4" ht="30">
      <c r="A6126" s="5" t="str">
        <f>HYPERLINK("https://www.oit.va.gov/Services/TRM/ToolPage.aspx?tid=15089^","Primavera Autovue")</f>
        <v>Primavera Autovue</v>
      </c>
      <c r="B6126" s="4" t="s">
        <v>134</v>
      </c>
      <c r="C6126" s="8" t="s">
        <v>5</v>
      </c>
      <c r="D6126" s="11" t="s">
        <v>4645</v>
      </c>
    </row>
    <row r="6127" spans="1:4" ht="30">
      <c r="A6127" s="5" t="str">
        <f>HYPERLINK("https://www.oit.va.gov/Services/TRM/ToolPage.aspx?tid=15063^","Primavera Risk Analysis")</f>
        <v>Primavera Risk Analysis</v>
      </c>
      <c r="B6127" s="4" t="s">
        <v>134</v>
      </c>
      <c r="C6127" s="8" t="s">
        <v>5</v>
      </c>
      <c r="D6127" s="11" t="s">
        <v>2816</v>
      </c>
    </row>
    <row r="6128" spans="1:4" ht="30">
      <c r="A6128" s="5" t="str">
        <f>HYPERLINK("https://www.oit.va.gov/Services/TRM/ToolPage.aspx?tid=15043^","Primavera Unifier")</f>
        <v>Primavera Unifier</v>
      </c>
      <c r="B6128" s="4" t="s">
        <v>134</v>
      </c>
      <c r="C6128" s="8" t="s">
        <v>5</v>
      </c>
      <c r="D6128" s="11" t="s">
        <v>4646</v>
      </c>
    </row>
    <row r="6129" spans="1:4" ht="30">
      <c r="A6129" s="5" t="str">
        <f>HYPERLINK("https://www.oit.va.gov/Services/TRM/ToolPage.aspx?tid=15961^","WebLogic Deploy Tooling")</f>
        <v>WebLogic Deploy Tooling</v>
      </c>
      <c r="B6129" s="4" t="s">
        <v>134</v>
      </c>
      <c r="C6129" s="8" t="s">
        <v>5</v>
      </c>
      <c r="D6129" s="11" t="s">
        <v>4991</v>
      </c>
    </row>
    <row r="6130" spans="1:4" ht="30">
      <c r="A6130" s="5" t="str">
        <f>HYPERLINK("https://www.oit.va.gov/Services/TRM/ToolPage.aspx?tid=15424^","Cerner SkyVue")</f>
        <v>Cerner SkyVue</v>
      </c>
      <c r="B6130" s="4" t="s">
        <v>134</v>
      </c>
      <c r="C6130" s="8" t="s">
        <v>5</v>
      </c>
      <c r="D6130" s="11" t="s">
        <v>919</v>
      </c>
    </row>
    <row r="6131" spans="1:4" ht="30">
      <c r="A6131" s="5" t="str">
        <f>HYPERLINK("https://www.oit.va.gov/Services/TRM/ToolPage.aspx?tid=8905^","Enterprise Library Software (ELS)")</f>
        <v>Enterprise Library Software (ELS)</v>
      </c>
      <c r="B6131" s="4" t="s">
        <v>134</v>
      </c>
      <c r="C6131" s="8" t="s">
        <v>5</v>
      </c>
      <c r="D6131" s="11" t="s">
        <v>5177</v>
      </c>
    </row>
    <row r="6132" spans="1:4" ht="30">
      <c r="A6132" s="5" t="str">
        <f>HYPERLINK("https://www.oit.va.gov/Services/TRM/ToolPage.aspx?tid=6913^","GoldenGate Stream Analytics (GGSA)")</f>
        <v>GoldenGate Stream Analytics (GGSA)</v>
      </c>
      <c r="B6132" s="4" t="s">
        <v>134</v>
      </c>
      <c r="C6132" s="8" t="s">
        <v>5</v>
      </c>
      <c r="D6132" s="11" t="s">
        <v>3861</v>
      </c>
    </row>
    <row r="6133" spans="1:4" ht="30">
      <c r="A6133" s="5" t="str">
        <f>HYPERLINK("https://www.oit.va.gov/Services/TRM/ToolPage.aspx?tid=6762^","iPlanet Web Server")</f>
        <v>iPlanet Web Server</v>
      </c>
      <c r="B6133" s="4" t="s">
        <v>134</v>
      </c>
      <c r="C6133" s="8" t="s">
        <v>5</v>
      </c>
      <c r="D6133" s="11" t="s">
        <v>5263</v>
      </c>
    </row>
    <row r="6134" spans="1:4" ht="30">
      <c r="A6134" s="5" t="str">
        <f>HYPERLINK("https://www.oit.va.gov/Services/TRM/ToolPage.aspx?tid=6018^","Java Database (Java DB)")</f>
        <v>Java Database (Java DB)</v>
      </c>
      <c r="B6134" s="4" t="s">
        <v>134</v>
      </c>
      <c r="C6134" s="8" t="s">
        <v>5</v>
      </c>
      <c r="D6134" s="11" t="s">
        <v>5275</v>
      </c>
    </row>
    <row r="6135" spans="1:4" ht="30">
      <c r="A6135" s="5" t="str">
        <f>HYPERLINK("https://www.oit.va.gov/Services/TRM/ToolPage.aspx?tid=5169^","Java Development Kit (JDK) - JRockit")</f>
        <v>Java Development Kit (JDK) - JRockit</v>
      </c>
      <c r="B6135" s="4" t="s">
        <v>134</v>
      </c>
      <c r="C6135" s="8" t="s">
        <v>5</v>
      </c>
      <c r="D6135" s="11" t="s">
        <v>5276</v>
      </c>
    </row>
    <row r="6136" spans="1:4" ht="30">
      <c r="A6136" s="5" t="str">
        <f>HYPERLINK("https://www.oit.va.gov/Services/TRM/ToolPage.aspx?tid=10300^","JavaBeans Activation Framework (JAF)")</f>
        <v>JavaBeans Activation Framework (JAF)</v>
      </c>
      <c r="B6136" s="4" t="s">
        <v>134</v>
      </c>
      <c r="C6136" s="8" t="s">
        <v>5</v>
      </c>
      <c r="D6136" s="11" t="s">
        <v>726</v>
      </c>
    </row>
    <row r="6137" spans="1:4" ht="30">
      <c r="A6137" s="5" t="str">
        <f>HYPERLINK("https://www.oit.va.gov/Services/TRM/ToolPage.aspx?tid=15760^","Oracle Virtual Desktop Client")</f>
        <v>Oracle Virtual Desktop Client</v>
      </c>
      <c r="B6137" s="4" t="s">
        <v>134</v>
      </c>
      <c r="C6137" s="8" t="s">
        <v>5</v>
      </c>
      <c r="D6137" s="11" t="s">
        <v>5406</v>
      </c>
    </row>
    <row r="6138" spans="1:4" ht="30">
      <c r="A6138" s="5" t="str">
        <f>HYPERLINK("https://www.oit.va.gov/Services/TRM/ToolPage.aspx?tid=6917^","Oracle Web Services Manager")</f>
        <v>Oracle Web Services Manager</v>
      </c>
      <c r="B6138" s="4" t="s">
        <v>134</v>
      </c>
      <c r="C6138" s="8" t="s">
        <v>5</v>
      </c>
      <c r="D6138" s="11" t="s">
        <v>4565</v>
      </c>
    </row>
    <row r="6139" spans="1:4" ht="30">
      <c r="A6139" s="5" t="str">
        <f>HYPERLINK("https://www.oit.va.gov/Services/TRM/ToolPage.aspx?tid=5^","Solaris")</f>
        <v>Solaris</v>
      </c>
      <c r="B6139" s="4" t="s">
        <v>134</v>
      </c>
      <c r="C6139" s="8" t="s">
        <v>5</v>
      </c>
      <c r="D6139" s="11" t="s">
        <v>5516</v>
      </c>
    </row>
    <row r="6140" spans="1:4" ht="30">
      <c r="A6140" s="5" t="str">
        <f>HYPERLINK("https://www.oit.va.gov/Services/TRM/ToolPage.aspx?tid=14527^","Sun One Directory Server")</f>
        <v>Sun One Directory Server</v>
      </c>
      <c r="B6140" s="4" t="s">
        <v>134</v>
      </c>
      <c r="C6140" s="8" t="s">
        <v>5</v>
      </c>
      <c r="D6140" s="11" t="s">
        <v>5534</v>
      </c>
    </row>
    <row r="6141" spans="1:4" ht="30">
      <c r="A6141" s="5" t="str">
        <f>HYPERLINK("https://www.oit.va.gov/Services/TRM/ToolPage.aspx?tid=16106^","Oracle OSWatcher Black Box (OSWbb)")</f>
        <v>Oracle OSWatcher Black Box (OSWbb)</v>
      </c>
      <c r="B6141" s="4" t="s">
        <v>134</v>
      </c>
      <c r="C6141" s="8" t="s">
        <v>5</v>
      </c>
      <c r="D6141" s="11" t="s">
        <v>994</v>
      </c>
    </row>
    <row r="6142" spans="1:4" ht="30">
      <c r="A6142" s="5" t="str">
        <f>HYPERLINK("https://www.oit.va.gov/Services/TRM/ToolPage.aspx?tid=6211^","Oracle Service Registry")</f>
        <v>Oracle Service Registry</v>
      </c>
      <c r="B6142" s="4" t="s">
        <v>134</v>
      </c>
      <c r="C6142" s="8" t="s">
        <v>5</v>
      </c>
      <c r="D6142" s="11" t="s">
        <v>1815</v>
      </c>
    </row>
    <row r="6143" spans="1:4" ht="30">
      <c r="A6143" s="5" t="str">
        <f>HYPERLINK("https://www.oit.va.gov/Services/TRM/ToolPage.aspx?tid=163^","WebLogic Portal")</f>
        <v>WebLogic Portal</v>
      </c>
      <c r="B6143" s="4" t="s">
        <v>134</v>
      </c>
      <c r="C6143" s="8" t="s">
        <v>5</v>
      </c>
      <c r="D6143" s="11" t="s">
        <v>794</v>
      </c>
    </row>
    <row r="6144" spans="1:4" ht="30">
      <c r="A6144" s="5" t="str">
        <f>HYPERLINK("https://www.oit.va.gov/Services/TRM/ToolPage.aspx?tid=14375^","Cerner Multum addVantageRx Software Development Kit (SDK)")</f>
        <v>Cerner Multum addVantageRx Software Development Kit (SDK)</v>
      </c>
      <c r="B6144" s="4" t="s">
        <v>134</v>
      </c>
      <c r="C6144" s="8" t="s">
        <v>5</v>
      </c>
      <c r="D6144" s="11" t="s">
        <v>37</v>
      </c>
    </row>
    <row r="6145" spans="1:4" ht="30">
      <c r="A6145" s="5" t="str">
        <f>HYPERLINK("https://www.oit.va.gov/Services/TRM/ToolPage.aspx?tid=11810^","Explorer Data Collector")</f>
        <v>Explorer Data Collector</v>
      </c>
      <c r="B6145" s="4" t="s">
        <v>134</v>
      </c>
      <c r="C6145" s="8" t="s">
        <v>5</v>
      </c>
      <c r="D6145" s="11" t="s">
        <v>6596</v>
      </c>
    </row>
    <row r="6146" spans="1:4" ht="30">
      <c r="A6146" s="5" t="str">
        <f>HYPERLINK("https://www.oit.va.gov/Services/TRM/ToolPage.aspx?tid=12831^","Java Communications Application Programming Interface (API)")</f>
        <v>Java Communications Application Programming Interface (API)</v>
      </c>
      <c r="B6146" s="4" t="s">
        <v>134</v>
      </c>
      <c r="C6146" s="8" t="s">
        <v>5</v>
      </c>
      <c r="D6146" s="11" t="s">
        <v>6744</v>
      </c>
    </row>
    <row r="6147" spans="1:4" ht="30">
      <c r="A6147" s="5" t="str">
        <f>HYPERLINK("https://www.oit.va.gov/Services/TRM/ToolPage.aspx?tid=7587^","Oracle Commerce Platform")</f>
        <v>Oracle Commerce Platform</v>
      </c>
      <c r="B6147" s="4" t="s">
        <v>134</v>
      </c>
      <c r="C6147" s="8" t="s">
        <v>5</v>
      </c>
      <c r="D6147" s="11" t="s">
        <v>6978</v>
      </c>
    </row>
    <row r="6148" spans="1:4" ht="30">
      <c r="A6148" s="5" t="str">
        <f>HYPERLINK("https://www.oit.va.gov/Services/TRM/ToolPage.aspx?tid=12877^","Oracle Configuration Manager (OCM)")</f>
        <v>Oracle Configuration Manager (OCM)</v>
      </c>
      <c r="B6148" s="4" t="s">
        <v>134</v>
      </c>
      <c r="C6148" s="8" t="s">
        <v>5</v>
      </c>
      <c r="D6148" s="11" t="s">
        <v>5169</v>
      </c>
    </row>
    <row r="6149" spans="1:4" ht="30">
      <c r="A6149" s="5" t="str">
        <f>HYPERLINK("https://www.oit.va.gov/Services/TRM/ToolPage.aspx?tid=262^","Oracle Designer")</f>
        <v>Oracle Designer</v>
      </c>
      <c r="B6149" s="4" t="s">
        <v>134</v>
      </c>
      <c r="C6149" s="8" t="s">
        <v>5</v>
      </c>
      <c r="D6149" s="11" t="s">
        <v>1815</v>
      </c>
    </row>
    <row r="6150" spans="1:4" ht="30">
      <c r="A6150" s="5" t="str">
        <f>HYPERLINK("https://www.oit.va.gov/Services/TRM/ToolPage.aspx?tid=5452^","Oracle Directory Server Enterprise Edition (OSDEE)")</f>
        <v>Oracle Directory Server Enterprise Edition (OSDEE)</v>
      </c>
      <c r="B6150" s="4" t="s">
        <v>134</v>
      </c>
      <c r="C6150" s="8" t="s">
        <v>5</v>
      </c>
      <c r="D6150" s="11" t="s">
        <v>6913</v>
      </c>
    </row>
    <row r="6151" spans="1:4" ht="30">
      <c r="A6151" s="5" t="str">
        <f>HYPERLINK("https://www.oit.va.gov/Services/TRM/ToolPage.aspx?tid=11313^","Oracle Hyperion Planning")</f>
        <v>Oracle Hyperion Planning</v>
      </c>
      <c r="B6151" s="4" t="s">
        <v>134</v>
      </c>
      <c r="C6151" s="8" t="s">
        <v>5</v>
      </c>
      <c r="D6151" s="11" t="s">
        <v>6979</v>
      </c>
    </row>
    <row r="6152" spans="1:4" ht="30">
      <c r="A6152" s="5" t="str">
        <f>HYPERLINK("https://www.oit.va.gov/Services/TRM/ToolPage.aspx?tid=11682^","Oracle OpenSSO Fedlet")</f>
        <v>Oracle OpenSSO Fedlet</v>
      </c>
      <c r="B6152" s="4" t="s">
        <v>134</v>
      </c>
      <c r="C6152" s="8" t="s">
        <v>5</v>
      </c>
      <c r="D6152" s="11" t="s">
        <v>3360</v>
      </c>
    </row>
    <row r="6153" spans="1:4" ht="30">
      <c r="A6153" s="5" t="str">
        <f>HYPERLINK("https://www.oit.va.gov/Services/TRM/ToolPage.aspx?tid=13833^","Oracle Retail Data Warehouse (RDW)")</f>
        <v>Oracle Retail Data Warehouse (RDW)</v>
      </c>
      <c r="B6153" s="4" t="s">
        <v>134</v>
      </c>
      <c r="C6153" s="8" t="s">
        <v>5</v>
      </c>
      <c r="D6153" s="11" t="s">
        <v>6980</v>
      </c>
    </row>
    <row r="6154" spans="1:4" ht="30">
      <c r="A6154" s="5" t="str">
        <f>HYPERLINK("https://www.oit.va.gov/Services/TRM/ToolPage.aspx?tid=13836^","Oracle Retail Extract, Transform and Load (RETL)")</f>
        <v>Oracle Retail Extract, Transform and Load (RETL)</v>
      </c>
      <c r="B6154" s="4" t="s">
        <v>134</v>
      </c>
      <c r="C6154" s="8" t="s">
        <v>5</v>
      </c>
      <c r="D6154" s="11" t="s">
        <v>6981</v>
      </c>
    </row>
    <row r="6155" spans="1:4" ht="30">
      <c r="A6155" s="5" t="str">
        <f>HYPERLINK("https://www.oit.va.gov/Services/TRM/ToolPage.aspx?tid=13835^","Oracle Retail Store Inventory Management")</f>
        <v>Oracle Retail Store Inventory Management</v>
      </c>
      <c r="B6155" s="4" t="s">
        <v>134</v>
      </c>
      <c r="C6155" s="8" t="s">
        <v>5</v>
      </c>
      <c r="D6155" s="11" t="s">
        <v>1815</v>
      </c>
    </row>
    <row r="6156" spans="1:4" ht="30">
      <c r="A6156" s="5" t="str">
        <f>HYPERLINK("https://www.oit.va.gov/Services/TRM/ToolPage.aspx?tid=6916^","Oracle Service-Oriented Architecture (SOA) for Healthcare Integration")</f>
        <v>Oracle Service-Oriented Architecture (SOA) for Healthcare Integration</v>
      </c>
      <c r="B6156" s="4" t="s">
        <v>134</v>
      </c>
      <c r="C6156" s="8" t="s">
        <v>5</v>
      </c>
      <c r="D6156" s="11" t="s">
        <v>1893</v>
      </c>
    </row>
    <row r="6157" spans="1:4" ht="30">
      <c r="A6157" s="5" t="str">
        <f>HYPERLINK("https://www.oit.va.gov/Services/TRM/ToolPage.aspx?tid=11680^","Oracle Single Sign-On (SSO)")</f>
        <v>Oracle Single Sign-On (SSO)</v>
      </c>
      <c r="B6157" s="4" t="s">
        <v>134</v>
      </c>
      <c r="C6157" s="8" t="s">
        <v>5</v>
      </c>
      <c r="D6157" s="11" t="s">
        <v>5390</v>
      </c>
    </row>
    <row r="6158" spans="1:4" ht="30">
      <c r="A6158" s="5" t="str">
        <f>HYPERLINK("https://www.oit.va.gov/Services/TRM/ToolPage.aspx?tid=6770^","Oracle WebCenter Content: Imaging")</f>
        <v>Oracle WebCenter Content: Imaging</v>
      </c>
      <c r="B6158" s="4" t="s">
        <v>134</v>
      </c>
      <c r="C6158" s="8" t="s">
        <v>5</v>
      </c>
      <c r="D6158" s="11" t="s">
        <v>3610</v>
      </c>
    </row>
    <row r="6159" spans="1:4" ht="30">
      <c r="A6159" s="5" t="str">
        <f>HYPERLINK("https://www.oit.va.gov/Services/TRM/ToolPage.aspx?tid=15185^","Solaris Grand Unified Deprivation Script (GUDS)")</f>
        <v>Solaris Grand Unified Deprivation Script (GUDS)</v>
      </c>
      <c r="B6159" s="4" t="s">
        <v>134</v>
      </c>
      <c r="C6159" s="8" t="s">
        <v>5</v>
      </c>
      <c r="D6159" s="11" t="s">
        <v>3733</v>
      </c>
    </row>
    <row r="6160" spans="1:4" ht="30">
      <c r="A6160" s="5" t="str">
        <f>HYPERLINK("https://www.oit.va.gov/Services/TRM/ToolPage.aspx?tid=161^","WebLogic Integration")</f>
        <v>WebLogic Integration</v>
      </c>
      <c r="B6160" s="4" t="s">
        <v>134</v>
      </c>
      <c r="C6160" s="8" t="s">
        <v>5</v>
      </c>
      <c r="D6160" s="11" t="s">
        <v>7316</v>
      </c>
    </row>
    <row r="6161" spans="1:4" ht="30">
      <c r="A6161" s="5" t="str">
        <f>HYPERLINK("https://www.oit.va.gov/Services/TRM/ToolPage.aspx?tid=14322^","Berkeley Database")</f>
        <v>Berkeley Database</v>
      </c>
      <c r="B6161" s="4" t="s">
        <v>134</v>
      </c>
      <c r="C6161" s="8" t="s">
        <v>5</v>
      </c>
      <c r="D6161" s="11" t="s">
        <v>7548</v>
      </c>
    </row>
    <row r="6162" spans="1:4" ht="30">
      <c r="A6162" s="5" t="str">
        <f>HYPERLINK("https://www.oit.va.gov/Services/TRM/ToolPage.aspx?tid=11811^","Firmware Flash Update Tool")</f>
        <v>Firmware Flash Update Tool</v>
      </c>
      <c r="B6162" s="4" t="s">
        <v>134</v>
      </c>
      <c r="C6162" s="8" t="s">
        <v>5</v>
      </c>
      <c r="D6162" s="11" t="s">
        <v>7796</v>
      </c>
    </row>
    <row r="6163" spans="1:4" ht="30">
      <c r="A6163" s="5" t="str">
        <f>HYPERLINK("https://www.oit.va.gov/Services/TRM/ToolPage.aspx?tid=11783^","Java Advanced Imaging API")</f>
        <v>Java Advanced Imaging API</v>
      </c>
      <c r="B6163" s="4" t="s">
        <v>134</v>
      </c>
      <c r="C6163" s="8" t="s">
        <v>5</v>
      </c>
      <c r="D6163" s="11" t="s">
        <v>8116</v>
      </c>
    </row>
    <row r="6164" spans="1:4" ht="45">
      <c r="A6164" s="5" t="str">
        <f>HYPERLINK("https://www.oit.va.gov/Services/TRM/ToolPage.aspx?tid=46^","Java Application Programming Interface (API) for Extensible Markup Language (XML) Processing Reference Implementation (JAXP RI)")</f>
        <v>Java Application Programming Interface (API) for Extensible Markup Language (XML) Processing Reference Implementation (JAXP RI)</v>
      </c>
      <c r="B6164" s="4" t="s">
        <v>134</v>
      </c>
      <c r="C6164" s="8" t="s">
        <v>5</v>
      </c>
      <c r="D6164" s="11" t="s">
        <v>8117</v>
      </c>
    </row>
    <row r="6165" spans="1:4" ht="30">
      <c r="A6165" s="5" t="str">
        <f>HYPERLINK("https://www.oit.va.gov/Services/TRM/ToolPage.aspx?tid=18^","Java Application Verification Kit (AVK)")</f>
        <v>Java Application Verification Kit (AVK)</v>
      </c>
      <c r="B6165" s="4" t="s">
        <v>134</v>
      </c>
      <c r="C6165" s="8" t="s">
        <v>5</v>
      </c>
      <c r="D6165" s="11" t="s">
        <v>8118</v>
      </c>
    </row>
    <row r="6166" spans="1:4" ht="30">
      <c r="A6166" s="5" t="str">
        <f>HYPERLINK("https://www.oit.va.gov/Services/TRM/ToolPage.aspx?tid=11816^","Java Web Console")</f>
        <v>Java Web Console</v>
      </c>
      <c r="B6166" s="4" t="s">
        <v>134</v>
      </c>
      <c r="C6166" s="8" t="s">
        <v>5</v>
      </c>
      <c r="D6166" s="11" t="s">
        <v>8120</v>
      </c>
    </row>
    <row r="6167" spans="1:4" ht="30">
      <c r="A6167" s="5" t="str">
        <f>HYPERLINK("https://www.oit.va.gov/Services/TRM/ToolPage.aspx?tid=5640^","JInitiator")</f>
        <v>JInitiator</v>
      </c>
      <c r="B6167" s="4" t="s">
        <v>134</v>
      </c>
      <c r="C6167" s="8" t="s">
        <v>5</v>
      </c>
      <c r="D6167" s="11" t="s">
        <v>8127</v>
      </c>
    </row>
    <row r="6168" spans="1:4" ht="30">
      <c r="A6168" s="5" t="str">
        <f>HYPERLINK("https://www.oit.va.gov/Services/TRM/ToolPage.aspx?tid=8561^","Multi-Schema Extensible Markup Language (XML) Validator (MSV)")</f>
        <v>Multi-Schema Extensible Markup Language (XML) Validator (MSV)</v>
      </c>
      <c r="B6168" s="4" t="s">
        <v>134</v>
      </c>
      <c r="C6168" s="8" t="s">
        <v>5</v>
      </c>
      <c r="D6168" s="11" t="s">
        <v>8292</v>
      </c>
    </row>
    <row r="6169" spans="1:4" ht="30">
      <c r="A6169" s="5" t="str">
        <f>HYPERLINK("https://www.oit.va.gov/Services/TRM/ToolPage.aspx?tid=6911^","Oracle Business Activity Monitoring (BAM)")</f>
        <v>Oracle Business Activity Monitoring (BAM)</v>
      </c>
      <c r="B6169" s="4" t="s">
        <v>134</v>
      </c>
      <c r="C6169" s="8" t="s">
        <v>5</v>
      </c>
      <c r="D6169" s="11" t="s">
        <v>8373</v>
      </c>
    </row>
    <row r="6170" spans="1:4" ht="30">
      <c r="A6170" s="5" t="str">
        <f>HYPERLINK("https://www.oit.va.gov/Services/TRM/ToolPage.aspx?tid=5826^","Oracle Business Intelligence Beans")</f>
        <v>Oracle Business Intelligence Beans</v>
      </c>
      <c r="B6170" s="4" t="s">
        <v>134</v>
      </c>
      <c r="C6170" s="8" t="s">
        <v>5</v>
      </c>
      <c r="D6170" s="11" t="s">
        <v>7249</v>
      </c>
    </row>
    <row r="6171" spans="1:4" ht="30">
      <c r="A6171" s="5" t="str">
        <f>HYPERLINK("https://www.oit.va.gov/Services/TRM/ToolPage.aspx?tid=6912^","Oracle Business Rules")</f>
        <v>Oracle Business Rules</v>
      </c>
      <c r="B6171" s="4" t="s">
        <v>134</v>
      </c>
      <c r="C6171" s="8" t="s">
        <v>5</v>
      </c>
      <c r="D6171" s="11" t="s">
        <v>8374</v>
      </c>
    </row>
    <row r="6172" spans="1:4" ht="30">
      <c r="A6172" s="5" t="str">
        <f>HYPERLINK("https://www.oit.va.gov/Services/TRM/ToolPage.aspx?tid=6914^","Oracle Human Workflow")</f>
        <v>Oracle Human Workflow</v>
      </c>
      <c r="B6172" s="4" t="s">
        <v>134</v>
      </c>
      <c r="C6172" s="8" t="s">
        <v>5</v>
      </c>
      <c r="D6172" s="11" t="s">
        <v>3411</v>
      </c>
    </row>
    <row r="6173" spans="1:4" ht="30">
      <c r="A6173" s="5" t="str">
        <f>HYPERLINK("https://www.oit.va.gov/Services/TRM/ToolPage.aspx?tid=11511^","Oracle R Distribution")</f>
        <v>Oracle R Distribution</v>
      </c>
      <c r="B6173" s="4" t="s">
        <v>134</v>
      </c>
      <c r="C6173" s="8" t="s">
        <v>5</v>
      </c>
      <c r="D6173" s="11" t="s">
        <v>6300</v>
      </c>
    </row>
    <row r="6174" spans="1:4" ht="30">
      <c r="A6174" s="5" t="str">
        <f>HYPERLINK("https://www.oit.va.gov/Services/TRM/ToolPage.aspx?tid=6289^","Siebel Customer Relationship Management (CRM)")</f>
        <v>Siebel Customer Relationship Management (CRM)</v>
      </c>
      <c r="B6174" s="4" t="s">
        <v>134</v>
      </c>
      <c r="C6174" s="8" t="s">
        <v>5</v>
      </c>
      <c r="D6174" s="11" t="s">
        <v>8648</v>
      </c>
    </row>
    <row r="6175" spans="1:4" ht="30">
      <c r="A6175" s="5" t="str">
        <f>HYPERLINK("https://www.oit.va.gov/Services/TRM/ToolPage.aspx?tid=165^","Workshop for WebLogic")</f>
        <v>Workshop for WebLogic</v>
      </c>
      <c r="B6175" s="4" t="s">
        <v>134</v>
      </c>
      <c r="C6175" s="8" t="s">
        <v>5</v>
      </c>
      <c r="D6175" s="11" t="s">
        <v>8954</v>
      </c>
    </row>
    <row r="6176" spans="1:4" ht="30">
      <c r="A6176" s="5" t="str">
        <f>HYPERLINK("https://www.oit.va.gov/Services/TRM/ToolPage.aspx?tid=5971^","Exercise Builder")</f>
        <v>Exercise Builder</v>
      </c>
      <c r="B6176" s="4" t="s">
        <v>3111</v>
      </c>
      <c r="C6176" s="8" t="s">
        <v>5</v>
      </c>
      <c r="D6176" s="11" t="s">
        <v>3112</v>
      </c>
    </row>
    <row r="6177" spans="1:4" ht="30">
      <c r="A6177" s="5" t="str">
        <f>HYPERLINK("https://www.oit.va.gov/Services/TRM/ToolPage.aspx?tid=7890^","Orbeon Forms")</f>
        <v>Orbeon Forms</v>
      </c>
      <c r="B6177" s="4" t="s">
        <v>528</v>
      </c>
      <c r="C6177" s="8" t="s">
        <v>5</v>
      </c>
      <c r="D6177" s="11" t="s">
        <v>529</v>
      </c>
    </row>
    <row r="6178" spans="1:4" ht="30">
      <c r="A6178" s="5" t="str">
        <f>HYPERLINK("https://www.oit.va.gov/Services/TRM/ToolPage.aspx?tid=12805^","Copia")</f>
        <v>Copia</v>
      </c>
      <c r="B6178" s="4" t="s">
        <v>1461</v>
      </c>
      <c r="C6178" s="8" t="s">
        <v>5</v>
      </c>
      <c r="D6178" s="11" t="s">
        <v>1462</v>
      </c>
    </row>
    <row r="6179" spans="1:4" ht="30">
      <c r="A6179" s="5" t="str">
        <f>HYPERLINK("https://www.oit.va.gov/Services/TRM/ToolPage.aspx?tid=16334^","Dragger for Windows")</f>
        <v>Dragger for Windows</v>
      </c>
      <c r="B6179" s="4" t="s">
        <v>4039</v>
      </c>
      <c r="C6179" s="8" t="s">
        <v>5</v>
      </c>
      <c r="D6179" s="11" t="s">
        <v>3914</v>
      </c>
    </row>
    <row r="6180" spans="1:4" ht="30">
      <c r="A6180" s="5" t="str">
        <f>HYPERLINK("https://www.oit.va.gov/Services/TRM/ToolPage.aspx?tid=7768^","Origin")</f>
        <v>Origin</v>
      </c>
      <c r="B6180" s="4" t="s">
        <v>2833</v>
      </c>
      <c r="C6180" s="8" t="s">
        <v>5</v>
      </c>
      <c r="D6180" s="11" t="s">
        <v>2834</v>
      </c>
    </row>
    <row r="6181" spans="1:4" ht="30">
      <c r="A6181" s="5" t="str">
        <f>HYPERLINK("https://www.oit.va.gov/Services/TRM/ToolPage.aspx?tid=10513^","Rhapsody")</f>
        <v>Rhapsody</v>
      </c>
      <c r="B6181" s="4" t="s">
        <v>2919</v>
      </c>
      <c r="C6181" s="8" t="s">
        <v>5</v>
      </c>
      <c r="D6181" s="11" t="s">
        <v>2920</v>
      </c>
    </row>
    <row r="6182" spans="1:4" ht="30">
      <c r="A6182" s="5" t="str">
        <f>HYPERLINK("https://www.oit.va.gov/Services/TRM/ToolPage.aspx?tid=12884^","Orthanc")</f>
        <v>Orthanc</v>
      </c>
      <c r="B6182" s="4" t="s">
        <v>4568</v>
      </c>
      <c r="C6182" s="8" t="s">
        <v>5</v>
      </c>
      <c r="D6182" s="11" t="s">
        <v>1191</v>
      </c>
    </row>
    <row r="6183" spans="1:4" ht="30">
      <c r="A6183" s="5" t="str">
        <f>HYPERLINK("https://www.oit.va.gov/Services/TRM/ToolPage.aspx?tid=16385^","CommandBox")</f>
        <v>CommandBox</v>
      </c>
      <c r="B6183" s="4" t="s">
        <v>3951</v>
      </c>
      <c r="C6183" s="8" t="s">
        <v>5</v>
      </c>
      <c r="D6183" s="11" t="s">
        <v>3952</v>
      </c>
    </row>
    <row r="6184" spans="1:4" ht="30">
      <c r="A6184" s="5" t="str">
        <f>HYPERLINK("https://www.oit.va.gov/Services/TRM/ToolPage.aspx?tid=10991^","Open Source Classifieds (OSClass)")</f>
        <v>Open Source Classifieds (OSClass)</v>
      </c>
      <c r="B6184" s="4" t="s">
        <v>8366</v>
      </c>
      <c r="C6184" s="8" t="s">
        <v>5</v>
      </c>
      <c r="D6184" s="11" t="s">
        <v>7993</v>
      </c>
    </row>
    <row r="6185" spans="1:4" ht="30">
      <c r="A6185" s="5" t="str">
        <f>HYPERLINK("https://www.oit.va.gov/Services/TRM/ToolPage.aspx?tid=11801^","Victory Programming Environment (VPE)")</f>
        <v>Victory Programming Environment (VPE)</v>
      </c>
      <c r="B6185" s="4" t="s">
        <v>6140</v>
      </c>
      <c r="C6185" s="8" t="s">
        <v>5</v>
      </c>
      <c r="D6185" s="11" t="s">
        <v>4955</v>
      </c>
    </row>
    <row r="6186" spans="1:4" ht="30">
      <c r="A6186" s="5" t="str">
        <f>HYPERLINK("https://www.oit.va.gov/Services/TRM/ToolPage.aspx?tid=16081^","ArGest Backup")</f>
        <v>ArGest Backup</v>
      </c>
      <c r="B6186" s="4" t="s">
        <v>6296</v>
      </c>
      <c r="C6186" s="8" t="s">
        <v>5</v>
      </c>
      <c r="D6186" s="11" t="s">
        <v>209</v>
      </c>
    </row>
    <row r="6187" spans="1:4" ht="30">
      <c r="A6187" s="5" t="str">
        <f>HYPERLINK("https://www.oit.va.gov/Services/TRM/ToolPage.aspx?tid=11608^","Oticon Counseling")</f>
        <v>Oticon Counseling</v>
      </c>
      <c r="B6187" s="4" t="s">
        <v>797</v>
      </c>
      <c r="C6187" s="8" t="s">
        <v>5</v>
      </c>
      <c r="D6187" s="11" t="s">
        <v>798</v>
      </c>
    </row>
    <row r="6188" spans="1:4" ht="30">
      <c r="A6188" s="5" t="str">
        <f>HYPERLINK("https://www.oit.va.gov/Services/TRM/ToolPage.aspx?tid=5617^","Genie")</f>
        <v>Genie</v>
      </c>
      <c r="B6188" s="4" t="s">
        <v>797</v>
      </c>
      <c r="C6188" s="8" t="s">
        <v>5</v>
      </c>
      <c r="D6188" s="11" t="s">
        <v>1567</v>
      </c>
    </row>
    <row r="6189" spans="1:4" ht="30">
      <c r="A6189" s="5" t="str">
        <f>HYPERLINK("https://www.oit.va.gov/Services/TRM/ToolPage.aspx?tid=10599^","Genie Medical")</f>
        <v>Genie Medical</v>
      </c>
      <c r="B6189" s="4" t="s">
        <v>2622</v>
      </c>
      <c r="C6189" s="8" t="s">
        <v>5</v>
      </c>
      <c r="D6189" s="11" t="s">
        <v>357</v>
      </c>
    </row>
    <row r="6190" spans="1:4" ht="30">
      <c r="A6190" s="5" t="str">
        <f>HYPERLINK("https://www.oit.va.gov/Services/TRM/ToolPage.aspx?tid=11486^","ILO V6")</f>
        <v>ILO V6</v>
      </c>
      <c r="B6190" s="4" t="s">
        <v>8056</v>
      </c>
      <c r="C6190" s="8" t="s">
        <v>5</v>
      </c>
      <c r="D6190" s="11" t="s">
        <v>8057</v>
      </c>
    </row>
    <row r="6191" spans="1:4" ht="30">
      <c r="A6191" s="5" t="str">
        <f>HYPERLINK("https://www.oit.va.gov/Services/TRM/ToolPage.aspx?tid=10512^","ICS Chartr 200 Videonystagmography (VNG) Software")</f>
        <v>ICS Chartr 200 Videonystagmography (VNG) Software</v>
      </c>
      <c r="B6191" s="4" t="s">
        <v>8051</v>
      </c>
      <c r="C6191" s="8" t="s">
        <v>5</v>
      </c>
      <c r="D6191" s="11" t="s">
        <v>7235</v>
      </c>
    </row>
    <row r="6192" spans="1:4" ht="30">
      <c r="A6192" s="5" t="str">
        <f>HYPERLINK("https://www.oit.va.gov/Services/TRM/ToolPage.aspx?tid=10916^","AxonSoft")</f>
        <v>AxonSoft</v>
      </c>
      <c r="B6192" s="4" t="s">
        <v>3809</v>
      </c>
      <c r="C6192" s="8" t="s">
        <v>5</v>
      </c>
      <c r="D6192" s="11" t="s">
        <v>155</v>
      </c>
    </row>
    <row r="6193" spans="1:4" ht="30">
      <c r="A6193" s="5" t="str">
        <f>HYPERLINK("https://www.oit.va.gov/Services/TRM/ToolPage.aspx?tid=15911^","bebalance+")</f>
        <v>bebalance+</v>
      </c>
      <c r="B6193" s="4" t="s">
        <v>3809</v>
      </c>
      <c r="C6193" s="8" t="s">
        <v>5</v>
      </c>
      <c r="D6193" s="11" t="s">
        <v>3826</v>
      </c>
    </row>
    <row r="6194" spans="1:4" ht="30">
      <c r="A6194" s="5" t="str">
        <f>HYPERLINK("https://www.oit.va.gov/Services/TRM/ToolPage.aspx?tid=9661^","C-Soft")</f>
        <v>C-Soft</v>
      </c>
      <c r="B6194" s="4" t="s">
        <v>3809</v>
      </c>
      <c r="C6194" s="8" t="s">
        <v>5</v>
      </c>
      <c r="D6194" s="11" t="s">
        <v>3299</v>
      </c>
    </row>
    <row r="6195" spans="1:4" ht="30">
      <c r="A6195" s="5" t="str">
        <f>HYPERLINK("https://www.oit.va.gov/Services/TRM/ToolPage.aspx?tid=10745^","ElbowSoft")</f>
        <v>ElbowSoft</v>
      </c>
      <c r="B6195" s="4" t="s">
        <v>3809</v>
      </c>
      <c r="C6195" s="8" t="s">
        <v>5</v>
      </c>
      <c r="D6195" s="11" t="s">
        <v>4077</v>
      </c>
    </row>
    <row r="6196" spans="1:4" ht="30">
      <c r="A6196" s="5" t="str">
        <f>HYPERLINK("https://www.oit.va.gov/Services/TRM/ToolPage.aspx?tid=15907^","ElbowSoft TMR")</f>
        <v>ElbowSoft TMR</v>
      </c>
      <c r="B6196" s="4" t="s">
        <v>3809</v>
      </c>
      <c r="C6196" s="8" t="s">
        <v>5</v>
      </c>
      <c r="D6196" s="11" t="s">
        <v>4078</v>
      </c>
    </row>
    <row r="6197" spans="1:4" ht="30">
      <c r="A6197" s="5" t="str">
        <f>HYPERLINK("https://www.oit.va.gov/Services/TRM/ToolPage.aspx?tid=10194^","K-Soft")</f>
        <v>K-Soft</v>
      </c>
      <c r="B6197" s="4" t="s">
        <v>3809</v>
      </c>
      <c r="C6197" s="8" t="s">
        <v>5</v>
      </c>
      <c r="D6197" s="11" t="s">
        <v>1032</v>
      </c>
    </row>
    <row r="6198" spans="1:4" ht="30">
      <c r="A6198" s="5" t="str">
        <f>HYPERLINK("https://www.oit.va.gov/Services/TRM/ToolPage.aspx?tid=10815^","M-Soft")</f>
        <v>M-Soft</v>
      </c>
      <c r="B6198" s="4" t="s">
        <v>3809</v>
      </c>
      <c r="C6198" s="8" t="s">
        <v>5</v>
      </c>
      <c r="D6198" s="11" t="s">
        <v>4462</v>
      </c>
    </row>
    <row r="6199" spans="1:4" ht="30">
      <c r="A6199" s="5" t="str">
        <f>HYPERLINK("https://www.oit.va.gov/Services/TRM/ToolPage.aspx?tid=12833^","Ottobock Data Station")</f>
        <v>Ottobock Data Station</v>
      </c>
      <c r="B6199" s="4" t="s">
        <v>3809</v>
      </c>
      <c r="C6199" s="8" t="s">
        <v>5</v>
      </c>
      <c r="D6199" s="11" t="s">
        <v>2763</v>
      </c>
    </row>
    <row r="6200" spans="1:4" ht="30">
      <c r="A6200" s="5" t="str">
        <f>HYPERLINK("https://www.oit.va.gov/Services/TRM/ToolPage.aspx?tid=7459^","Prosthetist`s Assistant for Upper Limb Architecture (PAULA)")</f>
        <v>Prosthetist`s Assistant for Upper Limb Architecture (PAULA)</v>
      </c>
      <c r="B6200" s="4" t="s">
        <v>3809</v>
      </c>
      <c r="C6200" s="8" t="s">
        <v>5</v>
      </c>
      <c r="D6200" s="11" t="s">
        <v>6013</v>
      </c>
    </row>
    <row r="6201" spans="1:4" ht="30">
      <c r="A6201" s="5" t="str">
        <f>HYPERLINK("https://www.oit.va.gov/Services/TRM/ToolPage.aspx?tid=10337^","X-Soft")</f>
        <v>X-Soft</v>
      </c>
      <c r="B6201" s="4" t="s">
        <v>3809</v>
      </c>
      <c r="C6201" s="8" t="s">
        <v>5</v>
      </c>
      <c r="D6201" s="11" t="s">
        <v>2136</v>
      </c>
    </row>
    <row r="6202" spans="1:4" ht="30">
      <c r="A6202" s="5" t="str">
        <f>HYPERLINK("https://www.oit.va.gov/Services/TRM/ToolPage.aspx?tid=10825^","MyolinoSoft")</f>
        <v>MyolinoSoft</v>
      </c>
      <c r="B6202" s="4" t="s">
        <v>3809</v>
      </c>
      <c r="C6202" s="8" t="s">
        <v>5</v>
      </c>
      <c r="D6202" s="11" t="s">
        <v>5301</v>
      </c>
    </row>
    <row r="6203" spans="1:4" ht="30">
      <c r="A6203" s="5" t="str">
        <f>HYPERLINK("https://www.oit.va.gov/Services/TRM/ToolPage.aspx?tid=10085^","Causal Diagramming Tool")</f>
        <v>Causal Diagramming Tool</v>
      </c>
      <c r="B6203" s="4" t="s">
        <v>5698</v>
      </c>
      <c r="C6203" s="8" t="s">
        <v>5</v>
      </c>
      <c r="D6203" s="11" t="s">
        <v>434</v>
      </c>
    </row>
    <row r="6204" spans="1:4" ht="30">
      <c r="A6204" s="5" t="str">
        <f>HYPERLINK("https://www.oit.va.gov/Services/TRM/ToolPage.aspx?tid=15177^","Tablo Script")</f>
        <v>Tablo Script</v>
      </c>
      <c r="B6204" s="4" t="s">
        <v>6096</v>
      </c>
      <c r="C6204" s="8" t="s">
        <v>5</v>
      </c>
      <c r="D6204" s="11" t="s">
        <v>6097</v>
      </c>
    </row>
    <row r="6205" spans="1:4" ht="30">
      <c r="A6205" s="5" t="str">
        <f>HYPERLINK("https://www.oit.va.gov/Services/TRM/ToolPage.aspx?tid=10359^","Oversight Core")</f>
        <v>Oversight Core</v>
      </c>
      <c r="B6205" s="4" t="s">
        <v>237</v>
      </c>
      <c r="C6205" s="8" t="s">
        <v>5</v>
      </c>
      <c r="D6205" s="11" t="s">
        <v>238</v>
      </c>
    </row>
    <row r="6206" spans="1:4" ht="30">
      <c r="A6206" s="5" t="str">
        <f>HYPERLINK("https://www.oit.va.gov/Services/TRM/ToolPage.aspx?tid=8360^","Java Hypertext Markup Language (HTML) Sanitizer")</f>
        <v>Java Hypertext Markup Language (HTML) Sanitizer</v>
      </c>
      <c r="B6206" s="4" t="s">
        <v>2682</v>
      </c>
      <c r="C6206" s="8" t="s">
        <v>5</v>
      </c>
      <c r="D6206" s="11" t="s">
        <v>2683</v>
      </c>
    </row>
    <row r="6207" spans="1:4" ht="30">
      <c r="A6207" s="5" t="str">
        <f>HYPERLINK("https://www.oit.va.gov/Services/TRM/ToolPage.aspx?tid=8361^","JavaScript Object Notation (JSON) Sanitizer")</f>
        <v>JavaScript Object Notation (JSON) Sanitizer</v>
      </c>
      <c r="B6207" s="4" t="s">
        <v>2682</v>
      </c>
      <c r="C6207" s="8" t="s">
        <v>5</v>
      </c>
      <c r="D6207" s="11" t="s">
        <v>1714</v>
      </c>
    </row>
    <row r="6208" spans="1:4" ht="30">
      <c r="A6208" s="5" t="str">
        <f>HYPERLINK("https://www.oit.va.gov/Services/TRM/ToolPage.aspx?tid=15159^","Threat Dragon")</f>
        <v>Threat Dragon</v>
      </c>
      <c r="B6208" s="4" t="s">
        <v>2682</v>
      </c>
      <c r="C6208" s="8" t="s">
        <v>5</v>
      </c>
      <c r="D6208" s="11" t="s">
        <v>2799</v>
      </c>
    </row>
    <row r="6209" spans="1:4" ht="30">
      <c r="A6209" s="5" t="str">
        <f>HYPERLINK("https://www.oit.va.gov/Services/TRM/StandardPage.aspx?tid=13268^","Open Web Interface for .NET (OWIN)")</f>
        <v>Open Web Interface for .NET (OWIN)</v>
      </c>
      <c r="B6209" s="4" t="s">
        <v>2824</v>
      </c>
      <c r="C6209" s="8" t="s">
        <v>5</v>
      </c>
      <c r="D6209" s="11" t="s">
        <v>2825</v>
      </c>
    </row>
    <row r="6210" spans="1:4" ht="30">
      <c r="A6210" s="5" t="str">
        <f>HYPERLINK("https://www.oit.va.gov/Services/TRM/ToolPage.aspx?tid=16457^","Meeting Owl App")</f>
        <v>Meeting Owl App</v>
      </c>
      <c r="B6210" s="4" t="s">
        <v>4403</v>
      </c>
      <c r="C6210" s="8" t="s">
        <v>5</v>
      </c>
      <c r="D6210" s="11" t="s">
        <v>4404</v>
      </c>
    </row>
    <row r="6211" spans="1:4" ht="30">
      <c r="A6211" s="5" t="str">
        <f>HYPERLINK("https://www.oit.va.gov/Services/TRM/ToolPage.aspx?tid=16415^","Imaris")</f>
        <v>Imaris</v>
      </c>
      <c r="B6211" s="4" t="s">
        <v>1622</v>
      </c>
      <c r="C6211" s="8" t="s">
        <v>5</v>
      </c>
      <c r="D6211" s="11" t="s">
        <v>1623</v>
      </c>
    </row>
    <row r="6212" spans="1:4" ht="30">
      <c r="A6212" s="5" t="str">
        <f>HYPERLINK("https://www.oit.va.gov/Services/TRM/ToolPage.aspx?tid=16504^","Oxford Medical Simulation (OMS)")</f>
        <v>Oxford Medical Simulation (OMS)</v>
      </c>
      <c r="B6212" s="4" t="s">
        <v>4571</v>
      </c>
      <c r="C6212" s="8" t="s">
        <v>5</v>
      </c>
      <c r="D6212" s="11" t="s">
        <v>4572</v>
      </c>
    </row>
    <row r="6213" spans="1:4" ht="30">
      <c r="A6213" s="5" t="str">
        <f>HYPERLINK("https://www.oit.va.gov/Services/TRM/ToolPage.aspx?tid=7302^","United Kingdom Prospective Diabetes Study (UKPDS) Risk Engine")</f>
        <v>United Kingdom Prospective Diabetes Study (UKPDS) Risk Engine</v>
      </c>
      <c r="B6213" s="4" t="s">
        <v>8846</v>
      </c>
      <c r="C6213" s="8" t="s">
        <v>5</v>
      </c>
      <c r="D6213" s="11" t="s">
        <v>8847</v>
      </c>
    </row>
    <row r="6214" spans="1:4" ht="30">
      <c r="A6214" s="5" t="str">
        <f>HYPERLINK("https://www.oit.va.gov/Services/TRM/ToolPage.aspx?tid=16165^","iLok License Manager")</f>
        <v>iLok License Manager</v>
      </c>
      <c r="B6214" s="4" t="s">
        <v>1615</v>
      </c>
      <c r="C6214" s="8" t="s">
        <v>5</v>
      </c>
      <c r="D6214" s="11" t="s">
        <v>1616</v>
      </c>
    </row>
    <row r="6215" spans="1:4" ht="30">
      <c r="A6215" s="5" t="str">
        <f>HYPERLINK("https://www.oit.va.gov/Services/TRM/ToolPage.aspx?tid=14031^","Colour Contrast Analyser based on Electron (CCAe)")</f>
        <v>Colour Contrast Analyser based on Electron (CCAe)</v>
      </c>
      <c r="B6215" s="4" t="s">
        <v>6442</v>
      </c>
      <c r="C6215" s="8" t="s">
        <v>5</v>
      </c>
      <c r="D6215" s="11" t="s">
        <v>2230</v>
      </c>
    </row>
    <row r="6216" spans="1:4" ht="30">
      <c r="A6216" s="5" t="str">
        <f>HYPERLINK("https://www.oit.va.gov/Services/TRM/ToolPage.aspx?tid=14029^","Universal Translator 3")</f>
        <v>Universal Translator 3</v>
      </c>
      <c r="B6216" s="4" t="s">
        <v>5563</v>
      </c>
      <c r="C6216" s="8" t="s">
        <v>5</v>
      </c>
      <c r="D6216" s="11" t="s">
        <v>336</v>
      </c>
    </row>
    <row r="6217" spans="1:4" ht="30">
      <c r="A6217" s="5" t="str">
        <f>HYPERLINK("https://www.oit.va.gov/Services/TRM/ToolPage.aspx?tid=7752^","Facility Energy Decision System (FEDS)")</f>
        <v>Facility Energy Decision System (FEDS)</v>
      </c>
      <c r="B6217" s="4" t="s">
        <v>7911</v>
      </c>
      <c r="C6217" s="8" t="s">
        <v>5</v>
      </c>
      <c r="D6217" s="11" t="s">
        <v>5125</v>
      </c>
    </row>
    <row r="6218" spans="1:4" ht="30">
      <c r="A6218" s="5" t="str">
        <f>HYPERLINK("https://www.oit.va.gov/Services/TRM/ToolPage.aspx?tid=11306^","Pacom Graphical Management System (GMS)")</f>
        <v>Pacom Graphical Management System (GMS)</v>
      </c>
      <c r="B6218" s="4" t="s">
        <v>6987</v>
      </c>
      <c r="C6218" s="8" t="s">
        <v>5</v>
      </c>
      <c r="D6218" s="11" t="s">
        <v>5341</v>
      </c>
    </row>
    <row r="6219" spans="1:4" ht="30">
      <c r="A6219" s="5" t="str">
        <f>HYPERLINK("https://www.oit.va.gov/Services/TRM/ToolPage.aspx?tid=8067^","Paessler Router Traffic Grapher (PRTG) Network Monitor")</f>
        <v>Paessler Router Traffic Grapher (PRTG) Network Monitor</v>
      </c>
      <c r="B6219" s="4" t="s">
        <v>799</v>
      </c>
      <c r="C6219" s="8" t="s">
        <v>5</v>
      </c>
      <c r="D6219" s="11" t="s">
        <v>800</v>
      </c>
    </row>
    <row r="6220" spans="1:4" ht="30">
      <c r="A6220" s="5" t="str">
        <f>HYPERLINK("https://www.oit.va.gov/Services/TRM/ToolPage.aspx?tid=16159^","Paessler Router Traffic Grapher (PRTG )")</f>
        <v>Paessler Router Traffic Grapher (PRTG )</v>
      </c>
      <c r="B6220" s="4" t="s">
        <v>799</v>
      </c>
      <c r="C6220" s="8" t="s">
        <v>5</v>
      </c>
      <c r="D6220" s="11" t="s">
        <v>1552</v>
      </c>
    </row>
    <row r="6221" spans="1:4" ht="30">
      <c r="A6221" s="5" t="str">
        <f>HYPERLINK("https://www.oit.va.gov/Services/TRM/ToolPage.aspx?tid=16148^","Paessler Router Traffic Grapher (PRTG) Desktop")</f>
        <v>Paessler Router Traffic Grapher (PRTG) Desktop</v>
      </c>
      <c r="B6221" s="4" t="s">
        <v>799</v>
      </c>
      <c r="C6221" s="8" t="s">
        <v>5</v>
      </c>
      <c r="D6221" s="11" t="s">
        <v>2191</v>
      </c>
    </row>
    <row r="6222" spans="1:4" ht="30">
      <c r="A6222" s="5" t="str">
        <f>HYPERLINK("https://www.oit.va.gov/Services/TRM/ToolPage.aspx?tid=11603^","Check My Links")</f>
        <v>Check My Links</v>
      </c>
      <c r="B6222" s="4" t="s">
        <v>5096</v>
      </c>
      <c r="C6222" s="8" t="s">
        <v>5</v>
      </c>
      <c r="D6222" s="11" t="s">
        <v>5097</v>
      </c>
    </row>
    <row r="6223" spans="1:4" ht="30">
      <c r="A6223" s="5" t="str">
        <f>HYPERLINK("https://www.oit.va.gov/Services/TRM/ToolPage.aspx?tid=14147^","PageBreeze Free HyperText Markup Language (HTML) Editor")</f>
        <v>PageBreeze Free HyperText Markup Language (HTML) Editor</v>
      </c>
      <c r="B6223" s="4" t="s">
        <v>6988</v>
      </c>
      <c r="C6223" s="8" t="s">
        <v>5</v>
      </c>
      <c r="D6223" s="11" t="s">
        <v>5442</v>
      </c>
    </row>
    <row r="6224" spans="1:4" ht="30">
      <c r="A6224" s="5" t="str">
        <f>HYPERLINK("https://www.oit.va.gov/Services/TRM/ToolPage.aspx?tid=10055^","PageDip")</f>
        <v>PageDip</v>
      </c>
      <c r="B6224" s="4" t="s">
        <v>8383</v>
      </c>
      <c r="C6224" s="8" t="s">
        <v>5</v>
      </c>
      <c r="D6224" s="11" t="s">
        <v>7993</v>
      </c>
    </row>
    <row r="6225" spans="1:4" ht="30">
      <c r="A6225" s="5" t="str">
        <f>HYPERLINK("https://www.oit.va.gov/Services/TRM/ToolPage.aspx?tid=14833^","PAL Software Suite")</f>
        <v>PAL Software Suite</v>
      </c>
      <c r="B6225" s="4" t="s">
        <v>8387</v>
      </c>
      <c r="C6225" s="8" t="s">
        <v>5</v>
      </c>
      <c r="D6225" s="11" t="s">
        <v>8388</v>
      </c>
    </row>
    <row r="6226" spans="1:4" ht="30">
      <c r="A6226" s="5" t="str">
        <f>HYPERLINK("https://www.oit.va.gov/Services/TRM/ToolPage.aspx?tid=15077^","Palantir Foundry Data Connector")</f>
        <v>Palantir Foundry Data Connector</v>
      </c>
      <c r="B6226" s="4" t="s">
        <v>4574</v>
      </c>
      <c r="C6226" s="8" t="s">
        <v>5</v>
      </c>
      <c r="D6226" s="11" t="s">
        <v>3645</v>
      </c>
    </row>
    <row r="6227" spans="1:4" ht="30">
      <c r="A6227" s="5" t="str">
        <f>HYPERLINK("https://www.oit.va.gov/Services/TRM/ToolPage.aspx?tid=15829^","Palantir Foundry Open Database Connectivity (ODBC) Driver")</f>
        <v>Palantir Foundry Open Database Connectivity (ODBC) Driver</v>
      </c>
      <c r="B6227" s="4" t="s">
        <v>4574</v>
      </c>
      <c r="C6227" s="8" t="s">
        <v>5</v>
      </c>
      <c r="D6227" s="11" t="s">
        <v>4575</v>
      </c>
    </row>
    <row r="6228" spans="1:4" ht="30">
      <c r="A6228" s="5" t="str">
        <f>HYPERLINK("https://www.oit.va.gov/Services/TRM/ToolPage.aspx?tid=15301^","Palarum Local Server (PLS)")</f>
        <v>Palarum Local Server (PLS)</v>
      </c>
      <c r="B6228" s="4" t="s">
        <v>4576</v>
      </c>
      <c r="C6228" s="8" t="s">
        <v>5</v>
      </c>
      <c r="D6228" s="11" t="s">
        <v>709</v>
      </c>
    </row>
    <row r="6229" spans="1:4" ht="30">
      <c r="A6229" s="5" t="str">
        <f>HYPERLINK("https://www.oit.va.gov/Services/TRM/ToolPage.aspx?tid=8204^","Palisade DecisionTools")</f>
        <v>Palisade DecisionTools</v>
      </c>
      <c r="B6229" s="4" t="s">
        <v>2165</v>
      </c>
      <c r="C6229" s="8" t="s">
        <v>5</v>
      </c>
      <c r="D6229" s="11" t="s">
        <v>290</v>
      </c>
    </row>
    <row r="6230" spans="1:4" ht="30">
      <c r="A6230" s="5" t="str">
        <f>HYPERLINK("https://www.oit.va.gov/Services/TRM/ToolPage.aspx?tid=8201^","@RISK")</f>
        <v>@RISK</v>
      </c>
      <c r="B6230" s="4" t="s">
        <v>2165</v>
      </c>
      <c r="C6230" s="8" t="s">
        <v>5</v>
      </c>
      <c r="D6230" s="11" t="s">
        <v>4620</v>
      </c>
    </row>
    <row r="6231" spans="1:4" ht="30">
      <c r="A6231" s="5" t="str">
        <f>HYPERLINK("https://www.oit.va.gov/Services/TRM/ToolPage.aspx?tid=8202^","Evolver")</f>
        <v>Evolver</v>
      </c>
      <c r="B6231" s="4" t="s">
        <v>2165</v>
      </c>
      <c r="C6231" s="8" t="s">
        <v>5</v>
      </c>
      <c r="D6231" s="11" t="s">
        <v>3212</v>
      </c>
    </row>
    <row r="6232" spans="1:4" ht="30">
      <c r="A6232" s="5" t="str">
        <f>HYPERLINK("https://www.oit.va.gov/Services/TRM/ToolPage.aspx?tid=8203^","NeuralTools")</f>
        <v>NeuralTools</v>
      </c>
      <c r="B6232" s="4" t="s">
        <v>2165</v>
      </c>
      <c r="C6232" s="8" t="s">
        <v>5</v>
      </c>
      <c r="D6232" s="11" t="s">
        <v>2284</v>
      </c>
    </row>
    <row r="6233" spans="1:4" ht="30">
      <c r="A6233" s="5" t="str">
        <f>HYPERLINK("https://www.oit.va.gov/Services/TRM/ToolPage.aspx?tid=8206^","StatTools")</f>
        <v>StatTools</v>
      </c>
      <c r="B6233" s="4" t="s">
        <v>2165</v>
      </c>
      <c r="C6233" s="8" t="s">
        <v>5</v>
      </c>
      <c r="D6233" s="11" t="s">
        <v>2422</v>
      </c>
    </row>
    <row r="6234" spans="1:4" ht="30">
      <c r="A6234" s="5" t="str">
        <f>HYPERLINK("https://www.oit.va.gov/Services/TRM/ToolPage.aspx?tid=11072^","HotSync Manager")</f>
        <v>HotSync Manager</v>
      </c>
      <c r="B6234" s="4" t="s">
        <v>8038</v>
      </c>
      <c r="C6234" s="8" t="s">
        <v>5</v>
      </c>
      <c r="D6234" s="11" t="s">
        <v>6855</v>
      </c>
    </row>
    <row r="6235" spans="1:4" ht="30">
      <c r="A6235" s="5" t="str">
        <f>HYPERLINK("https://www.oit.va.gov/Services/TRM/ToolPage.aspx?tid=11812^","GlobalProtect Agent")</f>
        <v>GlobalProtect Agent</v>
      </c>
      <c r="B6235" s="4" t="s">
        <v>5215</v>
      </c>
      <c r="C6235" s="8" t="s">
        <v>5</v>
      </c>
      <c r="D6235" s="11" t="s">
        <v>5216</v>
      </c>
    </row>
    <row r="6236" spans="1:4" ht="30">
      <c r="A6236" s="5" t="str">
        <f>HYPERLINK("https://www.oit.va.gov/Services/TRM/ToolPage.aspx?tid=14999^","GitHub-Base")</f>
        <v>GitHub-Base</v>
      </c>
      <c r="B6236" s="4" t="s">
        <v>5215</v>
      </c>
      <c r="C6236" s="8" t="s">
        <v>5</v>
      </c>
      <c r="D6236" s="11" t="s">
        <v>63</v>
      </c>
    </row>
    <row r="6237" spans="1:4" ht="30">
      <c r="A6237" s="5" t="str">
        <f>HYPERLINK("https://www.oit.va.gov/Services/TRM/ToolPage.aspx?tid=15712^","Cortex Extended Detection and Response (XDR)")</f>
        <v>Cortex Extended Detection and Response (XDR)</v>
      </c>
      <c r="B6237" s="4" t="s">
        <v>5215</v>
      </c>
      <c r="C6237" s="8" t="s">
        <v>5</v>
      </c>
      <c r="D6237" s="11" t="s">
        <v>6464</v>
      </c>
    </row>
    <row r="6238" spans="1:4" ht="30">
      <c r="A6238" s="5" t="str">
        <f>HYPERLINK("https://www.oit.va.gov/Services/TRM/ToolPage.aspx?tid=15303^","Expedition Server Migration Tool")</f>
        <v>Expedition Server Migration Tool</v>
      </c>
      <c r="B6238" s="4" t="s">
        <v>5215</v>
      </c>
      <c r="C6238" s="8" t="s">
        <v>5</v>
      </c>
      <c r="D6238" s="11" t="s">
        <v>6595</v>
      </c>
    </row>
    <row r="6239" spans="1:4" ht="30">
      <c r="A6239" s="5" t="str">
        <f>HYPERLINK("https://www.oit.va.gov/Services/TRM/ToolPage.aspx?tid=8657^","Image Capture Plus")</f>
        <v>Image Capture Plus</v>
      </c>
      <c r="B6239" s="4" t="s">
        <v>2659</v>
      </c>
      <c r="C6239" s="8" t="s">
        <v>5</v>
      </c>
      <c r="D6239" s="11" t="s">
        <v>689</v>
      </c>
    </row>
    <row r="6240" spans="1:4" ht="30">
      <c r="A6240" s="5" t="str">
        <f>HYPERLINK("https://www.oit.va.gov/Services/TRM/ToolPage.aspx?tid=11661^","i-PRO")</f>
        <v>i-PRO</v>
      </c>
      <c r="B6240" s="4" t="s">
        <v>2659</v>
      </c>
      <c r="C6240" s="8" t="s">
        <v>5</v>
      </c>
      <c r="D6240" s="11" t="s">
        <v>3345</v>
      </c>
    </row>
    <row r="6241" spans="1:4" ht="30">
      <c r="A6241" s="5" t="str">
        <f>HYPERLINK("https://www.oit.va.gov/Services/TRM/ToolPage.aspx?tid=11657^","ND Viewer Software Panasonic")</f>
        <v>ND Viewer Software Panasonic</v>
      </c>
      <c r="B6241" s="4" t="s">
        <v>2659</v>
      </c>
      <c r="C6241" s="8" t="s">
        <v>5</v>
      </c>
      <c r="D6241" s="11" t="s">
        <v>6913</v>
      </c>
    </row>
    <row r="6242" spans="1:4" ht="30">
      <c r="A6242" s="5" t="str">
        <f>HYPERLINK("https://www.oit.va.gov/Services/TRM/ToolPage.aspx?tid=13095^","Panasonic Multi Monitoring and Control Software")</f>
        <v>Panasonic Multi Monitoring and Control Software</v>
      </c>
      <c r="B6242" s="4" t="s">
        <v>2659</v>
      </c>
      <c r="C6242" s="8" t="s">
        <v>5</v>
      </c>
      <c r="D6242" s="11" t="s">
        <v>6989</v>
      </c>
    </row>
    <row r="6243" spans="1:4" ht="30">
      <c r="A6243" s="5" t="str">
        <f>HYPERLINK("https://www.oit.va.gov/Services/TRM/ToolPage.aspx?tid=11754^","Panasonic Content Management Software")</f>
        <v>Panasonic Content Management Software</v>
      </c>
      <c r="B6243" s="4" t="s">
        <v>2659</v>
      </c>
      <c r="C6243" s="8" t="s">
        <v>5</v>
      </c>
      <c r="D6243" s="11" t="s">
        <v>8389</v>
      </c>
    </row>
    <row r="6244" spans="1:4" ht="30">
      <c r="A6244" s="5" t="str">
        <f>HYPERLINK("https://www.oit.va.gov/Services/TRM/ToolPage.aspx?tid=11097^","Panasonic FP Connect")</f>
        <v>Panasonic FP Connect</v>
      </c>
      <c r="B6244" s="4" t="s">
        <v>2659</v>
      </c>
      <c r="C6244" s="8" t="s">
        <v>5</v>
      </c>
      <c r="D6244" s="11" t="s">
        <v>3581</v>
      </c>
    </row>
    <row r="6245" spans="1:4" ht="30">
      <c r="A6245" s="5" t="str">
        <f>HYPERLINK("https://www.oit.va.gov/Services/TRM/ToolPage.aspx?tid=13503^","Panasonic Toughbook DotNet Software Development Kit (SDK)")</f>
        <v>Panasonic Toughbook DotNet Software Development Kit (SDK)</v>
      </c>
      <c r="B6245" s="4" t="s">
        <v>2659</v>
      </c>
      <c r="C6245" s="8" t="s">
        <v>5</v>
      </c>
      <c r="D6245" s="11" t="s">
        <v>627</v>
      </c>
    </row>
    <row r="6246" spans="1:4" ht="30">
      <c r="A6246" s="5" t="str">
        <f>HYPERLINK("https://www.oit.va.gov/Services/TRM/ToolPage.aspx?tid=14034^","PHOTOfunSTUDIO PE")</f>
        <v>PHOTOfunSTUDIO PE</v>
      </c>
      <c r="B6246" s="4" t="s">
        <v>2659</v>
      </c>
      <c r="C6246" s="8" t="s">
        <v>5</v>
      </c>
      <c r="D6246" s="11" t="s">
        <v>105</v>
      </c>
    </row>
    <row r="6247" spans="1:4" ht="30">
      <c r="A6247" s="5" t="str">
        <f>HYPERLINK("https://www.oit.va.gov/Services/TRM/ToolPage.aspx?tid=10560^","Pandoc")</f>
        <v>Pandoc</v>
      </c>
      <c r="B6247" s="4" t="s">
        <v>6990</v>
      </c>
      <c r="C6247" s="8" t="s">
        <v>5</v>
      </c>
      <c r="D6247" s="11" t="s">
        <v>740</v>
      </c>
    </row>
    <row r="6248" spans="1:4" ht="30">
      <c r="A6248" s="5" t="str">
        <f>HYPERLINK("https://www.oit.va.gov/Services/TRM/ToolPage.aspx?tid=12834^","Pantherlink Software")</f>
        <v>Pantherlink Software</v>
      </c>
      <c r="B6248" s="4" t="s">
        <v>8391</v>
      </c>
      <c r="C6248" s="8" t="s">
        <v>5</v>
      </c>
      <c r="D6248" s="11" t="s">
        <v>8392</v>
      </c>
    </row>
    <row r="6249" spans="1:4" ht="30">
      <c r="A6249" s="5" t="str">
        <f>HYPERLINK("https://www.oit.va.gov/Services/TRM/ToolPage.aspx?tid=14613^","Transmit")</f>
        <v>Transmit</v>
      </c>
      <c r="B6249" s="4" t="s">
        <v>6117</v>
      </c>
      <c r="C6249" s="8" t="s">
        <v>5</v>
      </c>
      <c r="D6249" s="11" t="s">
        <v>468</v>
      </c>
    </row>
    <row r="6250" spans="1:4" ht="30">
      <c r="A6250" s="5" t="str">
        <f>HYPERLINK("https://www.oit.va.gov/Services/TRM/ToolPage.aspx?tid=13025^","Panorama Necto")</f>
        <v>Panorama Necto</v>
      </c>
      <c r="B6250" s="4" t="s">
        <v>2837</v>
      </c>
      <c r="C6250" s="8" t="s">
        <v>5</v>
      </c>
      <c r="D6250" s="11" t="s">
        <v>2838</v>
      </c>
    </row>
    <row r="6251" spans="1:4" ht="30">
      <c r="A6251" s="5" t="str">
        <f>HYPERLINK("https://www.oit.va.gov/Services/TRM/ToolPage.aspx?tid=13226^","xinetd")</f>
        <v>xinetd</v>
      </c>
      <c r="B6251" s="4" t="s">
        <v>2335</v>
      </c>
      <c r="C6251" s="8" t="s">
        <v>5</v>
      </c>
      <c r="D6251" s="11" t="s">
        <v>2336</v>
      </c>
    </row>
    <row r="6252" spans="1:4" ht="30">
      <c r="A6252" s="5" t="str">
        <f>HYPERLINK("https://www.oit.va.gov/Services/TRM/ToolPage.aspx?tid=7784^","SuperOrca")</f>
        <v>SuperOrca</v>
      </c>
      <c r="B6252" s="4" t="s">
        <v>7195</v>
      </c>
      <c r="C6252" s="8" t="s">
        <v>5</v>
      </c>
      <c r="D6252" s="11" t="s">
        <v>7117</v>
      </c>
    </row>
    <row r="6253" spans="1:4" ht="30">
      <c r="A6253" s="5" t="str">
        <f>HYPERLINK("https://www.oit.va.gov/Services/TRM/ToolPage.aspx?tid=9994^","MeshLab")</f>
        <v>MeshLab</v>
      </c>
      <c r="B6253" s="4" t="s">
        <v>6851</v>
      </c>
      <c r="C6253" s="8" t="s">
        <v>5</v>
      </c>
      <c r="D6253" s="11" t="s">
        <v>4298</v>
      </c>
    </row>
    <row r="6254" spans="1:4" ht="30">
      <c r="A6254" s="5" t="str">
        <f>HYPERLINK("https://www.oit.va.gov/Services/TRM/ToolPage.aspx?tid=16169^","PaperCut Print Logger")</f>
        <v>PaperCut Print Logger</v>
      </c>
      <c r="B6254" s="4" t="s">
        <v>4578</v>
      </c>
      <c r="C6254" s="8" t="s">
        <v>5</v>
      </c>
      <c r="D6254" s="11" t="s">
        <v>4579</v>
      </c>
    </row>
    <row r="6255" spans="1:4" ht="30">
      <c r="A6255" s="5" t="str">
        <f>HYPERLINK("https://www.oit.va.gov/Services/TRM/ToolPage.aspx?tid=6092^","PaperCut NG")</f>
        <v>PaperCut NG</v>
      </c>
      <c r="B6255" s="4" t="s">
        <v>4578</v>
      </c>
      <c r="C6255" s="8" t="s">
        <v>5</v>
      </c>
      <c r="D6255" s="11" t="s">
        <v>5409</v>
      </c>
    </row>
    <row r="6256" spans="1:4" ht="30">
      <c r="A6256" s="5" t="str">
        <f>HYPERLINK("https://www.oit.va.gov/Services/TRM/ToolPage.aspx?tid=15419^","SmartCite for Papers")</f>
        <v>SmartCite for Papers</v>
      </c>
      <c r="B6256" s="4" t="s">
        <v>8677</v>
      </c>
      <c r="C6256" s="8" t="s">
        <v>5</v>
      </c>
      <c r="D6256" s="11" t="s">
        <v>6300</v>
      </c>
    </row>
    <row r="6257" spans="1:4" ht="30">
      <c r="A6257" s="5" t="str">
        <f>HYPERLINK("https://www.oit.va.gov/Services/TRM/ToolPage.aspx?tid=9409^","PAR Excellence")</f>
        <v>PAR Excellence</v>
      </c>
      <c r="B6257" s="4" t="s">
        <v>100</v>
      </c>
      <c r="C6257" s="8" t="s">
        <v>5</v>
      </c>
      <c r="D6257" s="11" t="s">
        <v>101</v>
      </c>
    </row>
    <row r="6258" spans="1:4" ht="30">
      <c r="A6258" s="5" t="str">
        <f>HYPERLINK("https://www.oit.va.gov/Services/TRM/ToolPage.aspx?tid=9318^","PAR Bins Client Setup Software")</f>
        <v>PAR Bins Client Setup Software</v>
      </c>
      <c r="B6258" s="4" t="s">
        <v>100</v>
      </c>
      <c r="C6258" s="8" t="s">
        <v>5</v>
      </c>
      <c r="D6258" s="11" t="s">
        <v>447</v>
      </c>
    </row>
    <row r="6259" spans="1:4" ht="30">
      <c r="A6259" s="5" t="str">
        <f>HYPERLINK("https://www.oit.va.gov/Services/TRM/ToolPage.aspx?tid=7152^","Behavior Rating Inventory of Executive Function - Adult Version (BRIEF-A)")</f>
        <v>Behavior Rating Inventory of Executive Function - Adult Version (BRIEF-A)</v>
      </c>
      <c r="B6259" s="4" t="s">
        <v>1357</v>
      </c>
      <c r="C6259" s="8" t="s">
        <v>5</v>
      </c>
      <c r="D6259" s="11" t="s">
        <v>1358</v>
      </c>
    </row>
    <row r="6260" spans="1:4" ht="30">
      <c r="A6260" s="5" t="str">
        <f>HYPERLINK("https://www.oit.va.gov/Services/TRM/ToolPage.aspx?tid=15719^","Psychopathic Personality Inventory - Revised (PPI-R)")</f>
        <v>Psychopathic Personality Inventory - Revised (PPI-R)</v>
      </c>
      <c r="B6260" s="4" t="s">
        <v>1357</v>
      </c>
      <c r="C6260" s="8" t="s">
        <v>5</v>
      </c>
      <c r="D6260" s="11" t="s">
        <v>2301</v>
      </c>
    </row>
    <row r="6261" spans="1:4" ht="30">
      <c r="A6261" s="5" t="str">
        <f>HYPERLINK("https://www.oit.va.gov/Services/TRM/ToolPage.aspx?tid=16129^","Revised Comprehensive Norms for an Expanded HRB (Halstead-Reitan Battery)")</f>
        <v>Revised Comprehensive Norms for an Expanded HRB (Halstead-Reitan Battery)</v>
      </c>
      <c r="B6261" s="4" t="s">
        <v>1357</v>
      </c>
      <c r="C6261" s="8" t="s">
        <v>5</v>
      </c>
      <c r="D6261" s="11" t="s">
        <v>3488</v>
      </c>
    </row>
    <row r="6262" spans="1:4" ht="30">
      <c r="A6262" s="5" t="str">
        <f>HYPERLINK("https://www.oit.va.gov/Services/TRM/ToolPage.aspx?tid=6536^","Wisconsin Card Sorting Test (WCST)")</f>
        <v>Wisconsin Card Sorting Test (WCST)</v>
      </c>
      <c r="B6262" s="4" t="s">
        <v>276</v>
      </c>
      <c r="C6262" s="8" t="s">
        <v>5</v>
      </c>
      <c r="D6262" s="11" t="s">
        <v>277</v>
      </c>
    </row>
    <row r="6263" spans="1:4" ht="30">
      <c r="A6263" s="5" t="str">
        <f>HYPERLINK("https://www.oit.va.gov/Services/TRM/ToolPage.aspx?tid=7195^","Neuropsychological Assessment Battery Software Portfolio (NAB-SP)")</f>
        <v>Neuropsychological Assessment Battery Software Portfolio (NAB-SP)</v>
      </c>
      <c r="B6263" s="4" t="s">
        <v>276</v>
      </c>
      <c r="C6263" s="8" t="s">
        <v>5</v>
      </c>
      <c r="D6263" s="11" t="s">
        <v>1021</v>
      </c>
    </row>
    <row r="6264" spans="1:4" ht="30">
      <c r="A6264" s="5" t="str">
        <f>HYPERLINK("https://www.oit.va.gov/Services/TRM/ToolPage.aspx?tid=7198^","Personality Assessment Inventory (PAI) - Software Portfolio (SP)")</f>
        <v>Personality Assessment Inventory (PAI) - Software Portfolio (SP)</v>
      </c>
      <c r="B6264" s="4" t="s">
        <v>276</v>
      </c>
      <c r="C6264" s="8" t="s">
        <v>5</v>
      </c>
      <c r="D6264" s="11" t="s">
        <v>1197</v>
      </c>
    </row>
    <row r="6265" spans="1:4" ht="30">
      <c r="A6265" s="5" t="str">
        <f>HYPERLINK("https://www.oit.va.gov/Services/TRM/ToolPage.aspx?tid=8221^","Dementia Rating Scale-2 (DRS-2)")</f>
        <v>Dementia Rating Scale-2 (DRS-2)</v>
      </c>
      <c r="B6265" s="4" t="s">
        <v>276</v>
      </c>
      <c r="C6265" s="8" t="s">
        <v>5</v>
      </c>
      <c r="D6265" s="11" t="s">
        <v>1492</v>
      </c>
    </row>
    <row r="6266" spans="1:4" ht="30">
      <c r="A6266" s="5" t="str">
        <f>HYPERLINK("https://www.oit.va.gov/Services/TRM/ToolPage.aspx?tid=9046^","Survey of Pain Attitudes (SOPA)")</f>
        <v>Survey of Pain Attitudes (SOPA)</v>
      </c>
      <c r="B6266" s="4" t="s">
        <v>276</v>
      </c>
      <c r="C6266" s="8" t="s">
        <v>5</v>
      </c>
      <c r="D6266" s="11" t="s">
        <v>948</v>
      </c>
    </row>
    <row r="6267" spans="1:4" ht="30">
      <c r="A6267" s="5" t="str">
        <f>HYPERLINK("https://www.oit.va.gov/Services/TRM/ToolPage.aspx?tid=14695^","Category Test: Computer Version Research Edition (CAT:CV)")</f>
        <v>Category Test: Computer Version Research Edition (CAT:CV)</v>
      </c>
      <c r="B6267" s="4" t="s">
        <v>276</v>
      </c>
      <c r="C6267" s="8" t="s">
        <v>5</v>
      </c>
      <c r="D6267" s="11" t="s">
        <v>2231</v>
      </c>
    </row>
    <row r="6268" spans="1:4" ht="30">
      <c r="A6268" s="5" t="str">
        <f>HYPERLINK("https://www.oit.va.gov/Services/TRM/ToolPage.aspx?tid=9038^","Chronic Pain Coping Inventory (CPCI)")</f>
        <v>Chronic Pain Coping Inventory (CPCI)</v>
      </c>
      <c r="B6268" s="4" t="s">
        <v>276</v>
      </c>
      <c r="C6268" s="8" t="s">
        <v>5</v>
      </c>
      <c r="D6268" s="11" t="s">
        <v>2232</v>
      </c>
    </row>
    <row r="6269" spans="1:4" ht="30">
      <c r="A6269" s="5" t="str">
        <f>HYPERLINK("https://www.oit.va.gov/Services/TRM/ToolPage.aspx?tid=16463^","Detailed Assessment of Posttraumatic Stress (DAPS) Interpretive Report (IR)")</f>
        <v>Detailed Assessment of Posttraumatic Stress (DAPS) Interpretive Report (IR)</v>
      </c>
      <c r="B6269" s="4" t="s">
        <v>276</v>
      </c>
      <c r="C6269" s="8" t="s">
        <v>5</v>
      </c>
      <c r="D6269" s="11" t="s">
        <v>2239</v>
      </c>
    </row>
    <row r="6270" spans="1:4" ht="30">
      <c r="A6270" s="5" t="str">
        <f>HYPERLINK("https://www.oit.va.gov/Services/TRM/ToolPage.aspx?tid=7458^","Millon Clinical Multiaxial Inventory (MCMI) II/III Interpretive System")</f>
        <v>Millon Clinical Multiaxial Inventory (MCMI) II/III Interpretive System</v>
      </c>
      <c r="B6270" s="4" t="s">
        <v>276</v>
      </c>
      <c r="C6270" s="8" t="s">
        <v>5</v>
      </c>
      <c r="D6270" s="11" t="s">
        <v>1731</v>
      </c>
    </row>
    <row r="6271" spans="1:4" ht="30">
      <c r="A6271" s="5" t="str">
        <f>HYPERLINK("https://www.oit.va.gov/Services/TRM/ToolPage.aspx?tid=9037^","Calibrated Neuropsychological Normative System (CNNS)")</f>
        <v>Calibrated Neuropsychological Normative System (CNNS)</v>
      </c>
      <c r="B6271" s="4" t="s">
        <v>276</v>
      </c>
      <c r="C6271" s="8" t="s">
        <v>5</v>
      </c>
      <c r="D6271" s="11" t="s">
        <v>3192</v>
      </c>
    </row>
    <row r="6272" spans="1:4" ht="30">
      <c r="A6272" s="5" t="str">
        <f>HYPERLINK("https://www.oit.va.gov/Services/TRM/ToolPage.aspx?tid=10823^","Clinical Assessment of Attention Deficit-Adult (CAT-A) Software Portfolio (SP)")</f>
        <v>Clinical Assessment of Attention Deficit-Adult (CAT-A) Software Portfolio (SP)</v>
      </c>
      <c r="B6272" s="4" t="s">
        <v>276</v>
      </c>
      <c r="C6272" s="8" t="s">
        <v>5</v>
      </c>
      <c r="D6272" s="11" t="s">
        <v>1800</v>
      </c>
    </row>
    <row r="6273" spans="1:4" ht="30">
      <c r="A6273" s="5" t="str">
        <f>HYPERLINK("https://www.oit.va.gov/Services/TRM/ToolPage.aspx?tid=7229^","Hopkins Verbal Learning Test-Revised/Brief Visuospatial Memory Test-Revised Software Portfolio (HVLT-R/BVMT-R SP)")</f>
        <v>Hopkins Verbal Learning Test-Revised/Brief Visuospatial Memory Test-Revised Software Portfolio (HVLT-R/BVMT-R SP)</v>
      </c>
      <c r="B6273" s="4" t="s">
        <v>276</v>
      </c>
      <c r="C6273" s="8" t="s">
        <v>5</v>
      </c>
      <c r="D6273" s="11" t="s">
        <v>2269</v>
      </c>
    </row>
    <row r="6274" spans="1:4" ht="30">
      <c r="A6274" s="5" t="str">
        <f>HYPERLINK("https://www.oit.va.gov/Services/TRM/ToolPage.aspx?tid=7545^","Iowa Gambling Task (IGT)")</f>
        <v>Iowa Gambling Task (IGT)</v>
      </c>
      <c r="B6274" s="4" t="s">
        <v>276</v>
      </c>
      <c r="C6274" s="8" t="s">
        <v>5</v>
      </c>
      <c r="D6274" s="11" t="s">
        <v>1714</v>
      </c>
    </row>
    <row r="6275" spans="1:4" ht="30">
      <c r="A6275" s="5" t="str">
        <f>HYPERLINK("https://www.oit.va.gov/Services/TRM/ToolPage.aspx?tid=7536^","Minnesota Multiphasic Personality Inventory (MMPI)-2 Adult Interpretive System (AIS)")</f>
        <v>Minnesota Multiphasic Personality Inventory (MMPI)-2 Adult Interpretive System (AIS)</v>
      </c>
      <c r="B6275" s="4" t="s">
        <v>276</v>
      </c>
      <c r="C6275" s="8" t="s">
        <v>5</v>
      </c>
      <c r="D6275" s="11" t="s">
        <v>2129</v>
      </c>
    </row>
    <row r="6276" spans="1:4" ht="45">
      <c r="A6276" s="5" t="str">
        <f>HYPERLINK("https://www.oit.va.gov/Services/TRM/ToolPage.aspx?tid=7202^","Revised Comprehensive Norms for an Expanded Halstead-Reitan Battery (HRB): Demographically Adjusted Neuropsychological Norms for African American and Caucasian Adults")</f>
        <v>Revised Comprehensive Norms for an Expanded Halstead-Reitan Battery (HRB): Demographically Adjusted Neuropsychological Norms for African American and Caucasian Adults</v>
      </c>
      <c r="B6276" s="4" t="s">
        <v>276</v>
      </c>
      <c r="C6276" s="8" t="s">
        <v>5</v>
      </c>
      <c r="D6276" s="11" t="s">
        <v>1090</v>
      </c>
    </row>
    <row r="6277" spans="1:4" ht="30">
      <c r="A6277" s="5" t="str">
        <f>HYPERLINK("https://www.oit.va.gov/Services/TRM/ToolPage.aspx?tid=8927^","Structured Inventory of Malingered Symptomatology (SIMS)")</f>
        <v>Structured Inventory of Malingered Symptomatology (SIMS)</v>
      </c>
      <c r="B6277" s="4" t="s">
        <v>276</v>
      </c>
      <c r="C6277" s="8" t="s">
        <v>5</v>
      </c>
      <c r="D6277" s="11" t="s">
        <v>3560</v>
      </c>
    </row>
    <row r="6278" spans="1:4" ht="30">
      <c r="A6278" s="5" t="str">
        <f>HYPERLINK("https://www.oit.va.gov/Services/TRM/ToolPage.aspx?tid=7467^","Trauma Symptom Inventory-2 (TSI-2) Scoring Program (SP)")</f>
        <v>Trauma Symptom Inventory-2 (TSI-2) Scoring Program (SP)</v>
      </c>
      <c r="B6278" s="4" t="s">
        <v>276</v>
      </c>
      <c r="C6278" s="8" t="s">
        <v>5</v>
      </c>
      <c r="D6278" s="11" t="s">
        <v>3582</v>
      </c>
    </row>
    <row r="6279" spans="1:4" ht="30">
      <c r="A6279" s="5" t="str">
        <f>HYPERLINK("https://www.oit.va.gov/Services/TRM/ToolPage.aspx?tid=7921^","Victoria Symptom Validity Test (VSVT)")</f>
        <v>Victoria Symptom Validity Test (VSVT)</v>
      </c>
      <c r="B6279" s="4" t="s">
        <v>276</v>
      </c>
      <c r="C6279" s="8" t="s">
        <v>5</v>
      </c>
      <c r="D6279" s="11" t="s">
        <v>1491</v>
      </c>
    </row>
    <row r="6280" spans="1:4" ht="30">
      <c r="A6280" s="5" t="str">
        <f>HYPERLINK("https://www.oit.va.gov/Services/TRM/ToolPage.aspx?tid=10081^","Stretch Break")</f>
        <v>Stretch Break</v>
      </c>
      <c r="B6280" s="4" t="s">
        <v>2192</v>
      </c>
      <c r="C6280" s="8" t="s">
        <v>5</v>
      </c>
      <c r="D6280" s="11" t="s">
        <v>284</v>
      </c>
    </row>
    <row r="6281" spans="1:4" ht="30">
      <c r="A6281" s="5" t="str">
        <f>HYPERLINK("https://www.oit.va.gov/Services/TRM/ToolPage.aspx?tid=13060^","Parable Post-Acute-Inpatient")</f>
        <v>Parable Post-Acute-Inpatient</v>
      </c>
      <c r="B6281" s="4" t="s">
        <v>239</v>
      </c>
      <c r="C6281" s="8" t="s">
        <v>5</v>
      </c>
      <c r="D6281" s="11" t="s">
        <v>240</v>
      </c>
    </row>
    <row r="6282" spans="1:4" ht="30">
      <c r="A6282" s="5" t="str">
        <f>HYPERLINK("https://www.oit.va.gov/Services/TRM/ToolPage.aspx?tid=10874^","Cluster Unique Identifier (CUID)")</f>
        <v>Cluster Unique Identifier (CUID)</v>
      </c>
      <c r="B6282" s="4" t="s">
        <v>7664</v>
      </c>
      <c r="C6282" s="8" t="s">
        <v>5</v>
      </c>
      <c r="D6282" s="11" t="s">
        <v>3926</v>
      </c>
    </row>
    <row r="6283" spans="1:4" ht="30">
      <c r="A6283" s="5" t="str">
        <f>HYPERLINK("https://www.oit.va.gov/Services/TRM/ToolPage.aspx?tid=15920^","Parallels Remote Application Server (RAS)")</f>
        <v>Parallels Remote Application Server (RAS)</v>
      </c>
      <c r="B6283" s="4" t="s">
        <v>801</v>
      </c>
      <c r="C6283" s="8" t="s">
        <v>5</v>
      </c>
      <c r="D6283" s="11" t="s">
        <v>802</v>
      </c>
    </row>
    <row r="6284" spans="1:4" ht="30">
      <c r="A6284" s="5" t="str">
        <f>HYPERLINK("https://www.oit.va.gov/Services/TRM/ToolPage.aspx?tid=7251^","Parallels Desktop for Mac")</f>
        <v>Parallels Desktop for Mac</v>
      </c>
      <c r="B6284" s="4" t="s">
        <v>801</v>
      </c>
      <c r="C6284" s="8" t="s">
        <v>5</v>
      </c>
      <c r="D6284" s="11" t="s">
        <v>1711</v>
      </c>
    </row>
    <row r="6285" spans="1:4" ht="30">
      <c r="A6285" s="5" t="str">
        <f>HYPERLINK("https://www.oit.va.gov/Services/TRM/ToolPage.aspx?tid=16703^","Paramify")</f>
        <v>Paramify</v>
      </c>
      <c r="B6285" s="4" t="s">
        <v>6992</v>
      </c>
      <c r="C6285" s="8" t="s">
        <v>5</v>
      </c>
      <c r="D6285" s="11" t="s">
        <v>4634</v>
      </c>
    </row>
    <row r="6286" spans="1:4" ht="30">
      <c r="A6286" s="5" t="str">
        <f>HYPERLINK("https://www.oit.va.gov/Services/TRM/ToolPage.aspx?tid=6181^","WhosOn")</f>
        <v>WhosOn</v>
      </c>
      <c r="B6286" s="4" t="s">
        <v>7326</v>
      </c>
      <c r="C6286" s="8" t="s">
        <v>5</v>
      </c>
      <c r="D6286" s="11" t="s">
        <v>3065</v>
      </c>
    </row>
    <row r="6287" spans="1:4" ht="30">
      <c r="A6287" s="5" t="str">
        <f>HYPERLINK("https://www.oit.va.gov/Services/TRM/ToolPage.aspx?tid=8483^","SonovaE")</f>
        <v>SonovaE</v>
      </c>
      <c r="B6287" s="4" t="s">
        <v>3127</v>
      </c>
      <c r="C6287" s="8" t="s">
        <v>5</v>
      </c>
      <c r="D6287" s="11" t="s">
        <v>3128</v>
      </c>
    </row>
    <row r="6288" spans="1:4" ht="30">
      <c r="A6288" s="5" t="str">
        <f>HYPERLINK("https://www.oit.va.gov/Services/TRM/ToolPage.aspx?tid=13136^","WinAudit")</f>
        <v>WinAudit</v>
      </c>
      <c r="B6288" s="4" t="s">
        <v>8926</v>
      </c>
      <c r="C6288" s="8" t="s">
        <v>5</v>
      </c>
      <c r="D6288" s="11" t="s">
        <v>4850</v>
      </c>
    </row>
    <row r="6289" spans="1:4" ht="30">
      <c r="A6289" s="5" t="str">
        <f>HYPERLINK("https://www.oit.va.gov/Services/TRM/ToolPage.aspx?tid=6984^","NServiceBus")</f>
        <v>NServiceBus</v>
      </c>
      <c r="B6289" s="4" t="s">
        <v>4520</v>
      </c>
      <c r="C6289" s="8" t="s">
        <v>5</v>
      </c>
      <c r="D6289" s="11" t="s">
        <v>1927</v>
      </c>
    </row>
    <row r="6290" spans="1:4" ht="30">
      <c r="A6290" s="5" t="str">
        <f>HYPERLINK("https://www.oit.va.gov/Services/TRM/ToolPage.aspx?tid=9408^","OSForensics")</f>
        <v>OSForensics</v>
      </c>
      <c r="B6290" s="4" t="s">
        <v>795</v>
      </c>
      <c r="C6290" s="8" t="s">
        <v>5</v>
      </c>
      <c r="D6290" s="11" t="s">
        <v>227</v>
      </c>
    </row>
    <row r="6291" spans="1:4" ht="30">
      <c r="A6291" s="5" t="str">
        <f>HYPERLINK("https://www.oit.va.gov/Services/TRM/ToolPage.aspx?tid=7486^","Paterva CaseFile")</f>
        <v>Paterva CaseFile</v>
      </c>
      <c r="B6291" s="4" t="s">
        <v>5413</v>
      </c>
      <c r="C6291" s="8" t="s">
        <v>5</v>
      </c>
      <c r="D6291" s="11" t="s">
        <v>5414</v>
      </c>
    </row>
    <row r="6292" spans="1:4" ht="30">
      <c r="A6292" s="5" t="str">
        <f>HYPERLINK("https://www.oit.va.gov/Services/TRM/ToolPage.aspx?tid=11756^","TotalView")</f>
        <v>TotalView</v>
      </c>
      <c r="B6292" s="4" t="s">
        <v>8820</v>
      </c>
      <c r="C6292" s="8" t="s">
        <v>5</v>
      </c>
      <c r="D6292" s="11" t="s">
        <v>8821</v>
      </c>
    </row>
    <row r="6293" spans="1:4" ht="30">
      <c r="A6293" s="5" t="str">
        <f>HYPERLINK("https://www.oit.va.gov/Services/TRM/ToolPage.aspx?tid=15930^","Pathos")</f>
        <v>Pathos</v>
      </c>
      <c r="B6293" s="4" t="s">
        <v>8403</v>
      </c>
      <c r="C6293" s="8" t="s">
        <v>5</v>
      </c>
      <c r="D6293" s="11" t="s">
        <v>1067</v>
      </c>
    </row>
    <row r="6294" spans="1:4" ht="30">
      <c r="A6294" s="5" t="str">
        <f>HYPERLINK("https://www.oit.va.gov/Services/TRM/ToolPage.aspx?tid=15439^","Pathvisio")</f>
        <v>Pathvisio</v>
      </c>
      <c r="B6294" s="4" t="s">
        <v>4580</v>
      </c>
      <c r="C6294" s="8" t="s">
        <v>5</v>
      </c>
      <c r="D6294" s="11" t="s">
        <v>4581</v>
      </c>
    </row>
    <row r="6295" spans="1:4" ht="30">
      <c r="A6295" s="5" t="str">
        <f>HYPERLINK("https://www.oit.va.gov/Services/TRM/ToolPage.aspx?tid=9956^","Flow Charting")</f>
        <v>Flow Charting</v>
      </c>
      <c r="B6295" s="4" t="s">
        <v>7934</v>
      </c>
      <c r="C6295" s="8" t="s">
        <v>5</v>
      </c>
      <c r="D6295" s="11" t="s">
        <v>7682</v>
      </c>
    </row>
    <row r="6296" spans="1:4" ht="30">
      <c r="A6296" s="5" t="str">
        <f>HYPERLINK("https://www.oit.va.gov/Services/TRM/ToolPage.aspx?tid=14580^","a11yTools")</f>
        <v>a11yTools</v>
      </c>
      <c r="B6296" s="4" t="s">
        <v>2207</v>
      </c>
      <c r="C6296" s="8" t="s">
        <v>5</v>
      </c>
      <c r="D6296" s="11" t="s">
        <v>142</v>
      </c>
    </row>
    <row r="6297" spans="1:4" ht="30">
      <c r="A6297" s="5" t="str">
        <f>HYPERLINK("https://www.oit.va.gov/Services/TRM/ToolPage.aspx?tid=10632^","PostGIS")</f>
        <v>PostGIS</v>
      </c>
      <c r="B6297" s="4" t="s">
        <v>7019</v>
      </c>
      <c r="C6297" s="8" t="s">
        <v>5</v>
      </c>
      <c r="D6297" s="11" t="s">
        <v>3903</v>
      </c>
    </row>
    <row r="6298" spans="1:4" ht="30">
      <c r="A6298" s="5" t="str">
        <f>HYPERLINK("https://www.oit.va.gov/Services/TRM/ToolPage.aspx?tid=11132^","Bootstrap Accessibility Plugin")</f>
        <v>Bootstrap Accessibility Plugin</v>
      </c>
      <c r="B6298" s="4" t="s">
        <v>7574</v>
      </c>
      <c r="C6298" s="8" t="s">
        <v>5</v>
      </c>
      <c r="D6298" s="11" t="s">
        <v>498</v>
      </c>
    </row>
    <row r="6299" spans="1:4" ht="30">
      <c r="A6299" s="5" t="str">
        <f>HYPERLINK("https://www.oit.va.gov/Services/TRM/ToolPage.aspx?tid=10302^","TruthPoint Rounds")</f>
        <v>TruthPoint Rounds</v>
      </c>
      <c r="B6299" s="4" t="s">
        <v>6119</v>
      </c>
      <c r="C6299" s="8" t="s">
        <v>5</v>
      </c>
      <c r="D6299" s="11" t="s">
        <v>4852</v>
      </c>
    </row>
    <row r="6300" spans="1:4" ht="30">
      <c r="A6300" s="5" t="str">
        <f>HYPERLINK("https://www.oit.va.gov/Services/TRM/ToolPage.aspx?tid=5831^","Portable Document Format (PDF) Clown")</f>
        <v>Portable Document Format (PDF) Clown</v>
      </c>
      <c r="B6300" s="4" t="s">
        <v>8450</v>
      </c>
      <c r="C6300" s="8" t="s">
        <v>5</v>
      </c>
      <c r="D6300" s="11" t="s">
        <v>3725</v>
      </c>
    </row>
    <row r="6301" spans="1:4" ht="30">
      <c r="A6301" s="5" t="str">
        <f>HYPERLINK("https://www.oit.va.gov/Services/TRM/ToolPage.aspx?tid=14784^","Portable Document Format (PDF) Complete")</f>
        <v>Portable Document Format (PDF) Complete</v>
      </c>
      <c r="B6301" s="4" t="s">
        <v>5432</v>
      </c>
      <c r="C6301" s="8" t="s">
        <v>5</v>
      </c>
      <c r="D6301" s="11" t="s">
        <v>2178</v>
      </c>
    </row>
    <row r="6302" spans="1:4" ht="30">
      <c r="A6302" s="5" t="str">
        <f>HYPERLINK("https://www.oit.va.gov/Services/TRM/ToolPage.aspx?tid=10011^","PDF Share Forms Enterprise")</f>
        <v>PDF Share Forms Enterprise</v>
      </c>
      <c r="B6302" s="4" t="s">
        <v>8408</v>
      </c>
      <c r="C6302" s="8" t="s">
        <v>5</v>
      </c>
      <c r="D6302" s="11" t="s">
        <v>5507</v>
      </c>
    </row>
    <row r="6303" spans="1:4" ht="30">
      <c r="A6303" s="5" t="str">
        <f>HYPERLINK("https://www.oit.va.gov/Services/TRM/ToolPage.aspx?tid=10941^","Portable Document Format (PDF) Architect")</f>
        <v>Portable Document Format (PDF) Architect</v>
      </c>
      <c r="B6303" s="4" t="s">
        <v>245</v>
      </c>
      <c r="C6303" s="8" t="s">
        <v>5</v>
      </c>
      <c r="D6303" s="11" t="s">
        <v>246</v>
      </c>
    </row>
    <row r="6304" spans="1:4" ht="30">
      <c r="A6304" s="5" t="str">
        <f>HYPERLINK("https://www.oit.va.gov/Services/TRM/ToolPage.aspx?tid=5687^","Portable Document File Creator (PDFCreator)")</f>
        <v>Portable Document File Creator (PDFCreator)</v>
      </c>
      <c r="B6304" s="4" t="s">
        <v>245</v>
      </c>
      <c r="C6304" s="8" t="s">
        <v>5</v>
      </c>
      <c r="D6304" s="11" t="s">
        <v>1123</v>
      </c>
    </row>
    <row r="6305" spans="1:4" ht="30">
      <c r="A6305" s="5" t="str">
        <f>HYPERLINK("https://www.oit.va.gov/Services/TRM/ToolPage.aspx?tid=11331^","Portable Document Format Lib (PDFlib)")</f>
        <v>Portable Document Format Lib (PDFlib)</v>
      </c>
      <c r="B6305" s="4" t="s">
        <v>8453</v>
      </c>
      <c r="C6305" s="8" t="s">
        <v>5</v>
      </c>
      <c r="D6305" s="11" t="s">
        <v>806</v>
      </c>
    </row>
    <row r="6306" spans="1:4" ht="30">
      <c r="A6306" s="5" t="str">
        <f>HYPERLINK("https://www.oit.va.gov/Services/TRM/ToolPage.aspx?tid=13657^","Free Portable Document Format (PDF) Merger")</f>
        <v>Free Portable Document Format (PDF) Merger</v>
      </c>
      <c r="B6306" s="4" t="s">
        <v>7952</v>
      </c>
      <c r="C6306" s="8" t="s">
        <v>5</v>
      </c>
      <c r="D6306" s="11" t="s">
        <v>7953</v>
      </c>
    </row>
    <row r="6307" spans="1:4" ht="30">
      <c r="A6307" s="5" t="str">
        <f>HYPERLINK("https://www.oit.va.gov/Services/TRM/ToolPage.aspx?tid=16376^","Portable Document Format Split and Merge (PDFsam) Enhanced")</f>
        <v>Portable Document Format Split and Merge (PDFsam) Enhanced</v>
      </c>
      <c r="B6307" s="4" t="s">
        <v>1845</v>
      </c>
      <c r="C6307" s="8" t="s">
        <v>5</v>
      </c>
      <c r="D6307" s="11" t="s">
        <v>1846</v>
      </c>
    </row>
    <row r="6308" spans="1:4" ht="30">
      <c r="A6308" s="5" t="str">
        <f>HYPERLINK("https://www.oit.va.gov/Services/TRM/ToolPage.aspx?tid=11428^","PDFsam Basic")</f>
        <v>PDFsam Basic</v>
      </c>
      <c r="B6308" s="4" t="s">
        <v>1845</v>
      </c>
      <c r="C6308" s="8" t="s">
        <v>5</v>
      </c>
      <c r="D6308" s="11" t="s">
        <v>1873</v>
      </c>
    </row>
    <row r="6309" spans="1:4" ht="30">
      <c r="A6309" s="5" t="str">
        <f>HYPERLINK("https://www.oit.va.gov/Services/TRM/ToolPage.aspx?tid=16769^","PDFsam Visual")</f>
        <v>PDFsam Visual</v>
      </c>
      <c r="B6309" s="4" t="s">
        <v>1845</v>
      </c>
      <c r="C6309" s="8" t="s">
        <v>5</v>
      </c>
      <c r="D6309" s="11" t="s">
        <v>2841</v>
      </c>
    </row>
    <row r="6310" spans="1:4" ht="30">
      <c r="A6310" s="5" t="str">
        <f>HYPERLINK("https://www.oit.va.gov/Services/TRM/ToolPage.aspx?tid=13477^","ActivePDF Server")</f>
        <v>ActivePDF Server</v>
      </c>
      <c r="B6310" s="4" t="s">
        <v>365</v>
      </c>
      <c r="C6310" s="8" t="s">
        <v>5</v>
      </c>
      <c r="D6310" s="11" t="s">
        <v>366</v>
      </c>
    </row>
    <row r="6311" spans="1:4" ht="30">
      <c r="A6311" s="5" t="str">
        <f>HYPERLINK("https://www.oit.va.gov/Services/TRM/ToolPage.aspx?tid=13714^","Portable Document Format (PDF) Source Development Kit (SDK)")</f>
        <v>Portable Document Format (PDF) Source Development Kit (SDK)</v>
      </c>
      <c r="B6311" s="4" t="s">
        <v>365</v>
      </c>
      <c r="C6311" s="8" t="s">
        <v>5</v>
      </c>
      <c r="D6311" s="11" t="s">
        <v>2295</v>
      </c>
    </row>
    <row r="6312" spans="1:4" ht="30">
      <c r="A6312" s="5" t="str">
        <f>HYPERLINK("https://www.oit.va.gov/Services/TRM/ToolPage.aspx?tid=16665^","PDQ Deploy")</f>
        <v>PDQ Deploy</v>
      </c>
      <c r="B6312" s="4" t="s">
        <v>4583</v>
      </c>
      <c r="C6312" s="8" t="s">
        <v>5</v>
      </c>
      <c r="D6312" s="11" t="s">
        <v>4584</v>
      </c>
    </row>
    <row r="6313" spans="1:4" ht="30">
      <c r="A6313" s="5" t="str">
        <f>HYPERLINK("https://www.oit.va.gov/Services/TRM/ToolPage.aspx?tid=6781^","Wechsler Adult Intelligence Scale, Fourth Edition (WAIS-IV)")</f>
        <v>Wechsler Adult Intelligence Scale, Fourth Edition (WAIS-IV)</v>
      </c>
      <c r="B6313" s="4" t="s">
        <v>3634</v>
      </c>
      <c r="C6313" s="8" t="s">
        <v>5</v>
      </c>
      <c r="D6313" s="11" t="s">
        <v>3635</v>
      </c>
    </row>
    <row r="6314" spans="1:4" ht="30">
      <c r="A6314" s="5" t="str">
        <f>HYPERLINK("https://www.oit.va.gov/Services/TRM/ToolPage.aspx?tid=6784^","Wechsler Memory Scale, Fourth Edition (WMS-IV)")</f>
        <v>Wechsler Memory Scale, Fourth Edition (WMS-IV)</v>
      </c>
      <c r="B6314" s="4" t="s">
        <v>3634</v>
      </c>
      <c r="C6314" s="8" t="s">
        <v>5</v>
      </c>
      <c r="D6314" s="11" t="s">
        <v>3636</v>
      </c>
    </row>
    <row r="6315" spans="1:4" ht="30">
      <c r="A6315" s="5" t="str">
        <f>HYPERLINK("https://www.oit.va.gov/Services/TRM/ToolPage.aspx?tid=11206^","Millon Clinical Multiaxial Inventory (MCMI)")</f>
        <v>Millon Clinical Multiaxial Inventory (MCMI)</v>
      </c>
      <c r="B6315" s="4" t="s">
        <v>3634</v>
      </c>
      <c r="C6315" s="8" t="s">
        <v>5</v>
      </c>
      <c r="D6315" s="11" t="s">
        <v>2901</v>
      </c>
    </row>
    <row r="6316" spans="1:4" ht="30">
      <c r="A6316" s="5" t="str">
        <f>HYPERLINK("https://www.oit.va.gov/Services/TRM/ToolPage.aspx?tid=7156^","Delis Kaplan Executive Function System (D-KEFS)")</f>
        <v>Delis Kaplan Executive Function System (D-KEFS)</v>
      </c>
      <c r="B6316" s="4" t="s">
        <v>3634</v>
      </c>
      <c r="C6316" s="8" t="s">
        <v>5</v>
      </c>
      <c r="D6316" s="11" t="s">
        <v>2604</v>
      </c>
    </row>
    <row r="6317" spans="1:4" ht="30">
      <c r="A6317" s="5" t="str">
        <f>HYPERLINK("https://www.oit.va.gov/Services/TRM/ToolPage.aspx?tid=7209^","Wide Range Achievement Test 4 (WRAT4)")</f>
        <v>Wide Range Achievement Test 4 (WRAT4)</v>
      </c>
      <c r="B6317" s="4" t="s">
        <v>3634</v>
      </c>
      <c r="C6317" s="8" t="s">
        <v>5</v>
      </c>
      <c r="D6317" s="11" t="s">
        <v>5360</v>
      </c>
    </row>
    <row r="6318" spans="1:4" ht="30">
      <c r="A6318" s="5" t="str">
        <f>HYPERLINK("https://www.oit.va.gov/Services/TRM/ToolPage.aspx?tid=7551^","Adaptive Behavior Assessment System, Third Edition (ABAS-III)")</f>
        <v>Adaptive Behavior Assessment System, Third Edition (ABAS-III)</v>
      </c>
      <c r="B6318" s="4" t="s">
        <v>3634</v>
      </c>
      <c r="C6318" s="8" t="s">
        <v>5</v>
      </c>
      <c r="D6318" s="11" t="s">
        <v>5614</v>
      </c>
    </row>
    <row r="6319" spans="1:4" ht="30">
      <c r="A6319" s="5" t="str">
        <f>HYPERLINK("https://www.oit.va.gov/Services/TRM/ToolPage.aspx?tid=15268^","Minnesota Multiphasic Personality Inventory-2-Restructured Form Q-Local Scoring Software")</f>
        <v>Minnesota Multiphasic Personality Inventory-2-Restructured Form Q-Local Scoring Software</v>
      </c>
      <c r="B6319" s="4" t="s">
        <v>3634</v>
      </c>
      <c r="C6319" s="8" t="s">
        <v>5</v>
      </c>
      <c r="D6319" s="11" t="s">
        <v>5952</v>
      </c>
    </row>
    <row r="6320" spans="1:4" ht="30">
      <c r="A6320" s="5" t="str">
        <f>HYPERLINK("https://www.oit.va.gov/Services/TRM/ToolPage.aspx?tid=7620^","Q Local Scoring and Reporting Software")</f>
        <v>Q Local Scoring and Reporting Software</v>
      </c>
      <c r="B6320" s="4" t="s">
        <v>3634</v>
      </c>
      <c r="C6320" s="8" t="s">
        <v>5</v>
      </c>
      <c r="D6320" s="11" t="s">
        <v>6020</v>
      </c>
    </row>
    <row r="6321" spans="1:4" ht="30">
      <c r="A6321" s="5" t="str">
        <f>HYPERLINK("https://www.oit.va.gov/Services/TRM/ToolPage.aspx?tid=7145^","Advanced Clinical Solutions (ACS)")</f>
        <v>Advanced Clinical Solutions (ACS)</v>
      </c>
      <c r="B6321" s="4" t="s">
        <v>3634</v>
      </c>
      <c r="C6321" s="8" t="s">
        <v>5</v>
      </c>
      <c r="D6321" s="11" t="s">
        <v>6247</v>
      </c>
    </row>
    <row r="6322" spans="1:4" ht="30">
      <c r="A6322" s="5" t="str">
        <f>HYPERLINK("https://www.oit.va.gov/Services/TRM/ToolPage.aspx?tid=7154^","California Verbal Learning Test - Second Edition (CVLT-II)")</f>
        <v>California Verbal Learning Test - Second Edition (CVLT-II)</v>
      </c>
      <c r="B6322" s="4" t="s">
        <v>3634</v>
      </c>
      <c r="C6322" s="8" t="s">
        <v>5</v>
      </c>
      <c r="D6322" s="11" t="s">
        <v>6378</v>
      </c>
    </row>
    <row r="6323" spans="1:4" ht="30">
      <c r="A6323" s="5" t="str">
        <f>HYPERLINK("https://www.oit.va.gov/Services/TRM/ToolPage.aspx?tid=13870^","California Verbal Learning Test - Third Edition (CVLT-III)")</f>
        <v>California Verbal Learning Test - Third Edition (CVLT-III)</v>
      </c>
      <c r="B6323" s="4" t="s">
        <v>3634</v>
      </c>
      <c r="C6323" s="8" t="s">
        <v>5</v>
      </c>
      <c r="D6323" s="11" t="s">
        <v>6378</v>
      </c>
    </row>
    <row r="6324" spans="1:4" ht="30">
      <c r="A6324" s="5" t="str">
        <f>HYPERLINK("https://www.oit.va.gov/Services/TRM/ToolPage.aspx?tid=6114^","PsychCorpCenter")</f>
        <v>PsychCorpCenter</v>
      </c>
      <c r="B6324" s="4" t="s">
        <v>3634</v>
      </c>
      <c r="C6324" s="8" t="s">
        <v>5</v>
      </c>
      <c r="D6324" s="11" t="s">
        <v>7039</v>
      </c>
    </row>
    <row r="6325" spans="1:4" ht="30">
      <c r="A6325" s="5" t="str">
        <f>HYPERLINK("https://www.oit.va.gov/Services/TRM/ToolPage.aspx?tid=14786^","Activity Measure for Post Acute Care (AM-PAC)")</f>
        <v>Activity Measure for Post Acute Care (AM-PAC)</v>
      </c>
      <c r="B6325" s="4" t="s">
        <v>3634</v>
      </c>
      <c r="C6325" s="8" t="s">
        <v>5</v>
      </c>
      <c r="D6325" s="11" t="s">
        <v>1382</v>
      </c>
    </row>
    <row r="6326" spans="1:4" ht="30">
      <c r="A6326" s="5" t="str">
        <f>HYPERLINK("https://www.oit.va.gov/Services/TRM/ToolPage.aspx?tid=14446^","Battery for Health Improvement (BHI)-2")</f>
        <v>Battery for Health Improvement (BHI)-2</v>
      </c>
      <c r="B6326" s="4" t="s">
        <v>3634</v>
      </c>
      <c r="C6326" s="8" t="s">
        <v>5</v>
      </c>
      <c r="D6326" s="11" t="s">
        <v>6020</v>
      </c>
    </row>
    <row r="6327" spans="1:4" ht="30">
      <c r="A6327" s="5" t="str">
        <f>HYPERLINK("https://www.oit.va.gov/Services/TRM/ToolPage.aspx?tid=7157^","Differential Ability Scales-II (DAS-II) Scoring Assistant")</f>
        <v>Differential Ability Scales-II (DAS-II) Scoring Assistant</v>
      </c>
      <c r="B6327" s="4" t="s">
        <v>3634</v>
      </c>
      <c r="C6327" s="8" t="s">
        <v>5</v>
      </c>
      <c r="D6327" s="11" t="s">
        <v>7761</v>
      </c>
    </row>
    <row r="6328" spans="1:4" ht="30">
      <c r="A6328" s="5" t="str">
        <f>HYPERLINK("https://www.oit.va.gov/Services/TRM/ToolPage.aspx?tid=7208^","Wechsler Individual Achievement Test - III (WIAT-III) Scoring Assistant")</f>
        <v>Wechsler Individual Achievement Test - III (WIAT-III) Scoring Assistant</v>
      </c>
      <c r="B6328" s="4" t="s">
        <v>3634</v>
      </c>
      <c r="C6328" s="8" t="s">
        <v>5</v>
      </c>
      <c r="D6328" s="11" t="s">
        <v>8920</v>
      </c>
    </row>
    <row r="6329" spans="1:4" ht="30">
      <c r="A6329" s="5" t="str">
        <f>HYPERLINK("https://www.oit.va.gov/Services/TRM/ToolPage.aspx?tid=13851^","PeaZip")</f>
        <v>PeaZip</v>
      </c>
      <c r="B6329" s="4" t="s">
        <v>8416</v>
      </c>
      <c r="C6329" s="8" t="s">
        <v>5</v>
      </c>
      <c r="D6329" s="11" t="s">
        <v>8417</v>
      </c>
    </row>
    <row r="6330" spans="1:4" ht="30">
      <c r="A6330" s="5" t="str">
        <f>HYPERLINK("https://www.oit.va.gov/Services/TRM/ToolPage.aspx?tid=13821^","PedAlign Client Software")</f>
        <v>PedAlign Client Software</v>
      </c>
      <c r="B6330" s="4" t="s">
        <v>5992</v>
      </c>
      <c r="C6330" s="8" t="s">
        <v>5</v>
      </c>
      <c r="D6330" s="11" t="s">
        <v>5993</v>
      </c>
    </row>
    <row r="6331" spans="1:4" ht="30">
      <c r="A6331" s="5" t="str">
        <f>HYPERLINK("https://www.oit.va.gov/Services/TRM/ToolPage.aspx?tid=16015^","Peel.OS")</f>
        <v>Peel.OS</v>
      </c>
      <c r="B6331" s="4" t="s">
        <v>1195</v>
      </c>
      <c r="C6331" s="8" t="s">
        <v>5</v>
      </c>
      <c r="D6331" s="11" t="s">
        <v>1196</v>
      </c>
    </row>
    <row r="6332" spans="1:4" ht="30">
      <c r="A6332" s="5" t="str">
        <f>HYPERLINK("https://www.oit.va.gov/Services/TRM/ToolPage.aspx?tid=10824^","PeerSync")</f>
        <v>PeerSync</v>
      </c>
      <c r="B6332" s="4" t="s">
        <v>2846</v>
      </c>
      <c r="C6332" s="8" t="s">
        <v>5</v>
      </c>
      <c r="D6332" s="11" t="s">
        <v>366</v>
      </c>
    </row>
    <row r="6333" spans="1:4" ht="30">
      <c r="A6333" s="5" t="str">
        <f>HYPERLINK("https://www.oit.va.gov/Services/TRM/ToolPage.aspx?tid=14137^","Robotic Automation Runtime (WorkForce Intelligence and Robotics)")</f>
        <v>Robotic Automation Runtime (WorkForce Intelligence and Robotics)</v>
      </c>
      <c r="B6333" s="4" t="s">
        <v>154</v>
      </c>
      <c r="C6333" s="8" t="s">
        <v>5</v>
      </c>
      <c r="D6333" s="11" t="s">
        <v>155</v>
      </c>
    </row>
    <row r="6334" spans="1:4" ht="30">
      <c r="A6334" s="5" t="str">
        <f>HYPERLINK("https://www.oit.va.gov/Services/TRM/ToolPage.aspx?tid=7199^","Pega Government Platform")</f>
        <v>Pega Government Platform</v>
      </c>
      <c r="B6334" s="4" t="s">
        <v>154</v>
      </c>
      <c r="C6334" s="8" t="s">
        <v>5</v>
      </c>
      <c r="D6334" s="11" t="s">
        <v>803</v>
      </c>
    </row>
    <row r="6335" spans="1:4" ht="30">
      <c r="A6335" s="5" t="str">
        <f>HYPERLINK("https://www.oit.va.gov/Services/TRM/ToolPage.aspx?tid=15815^","Pega Infinity Suite")</f>
        <v>Pega Infinity Suite</v>
      </c>
      <c r="B6335" s="4" t="s">
        <v>154</v>
      </c>
      <c r="C6335" s="8" t="s">
        <v>5</v>
      </c>
      <c r="D6335" s="11" t="s">
        <v>804</v>
      </c>
    </row>
    <row r="6336" spans="1:4" ht="30">
      <c r="A6336" s="5" t="str">
        <f>HYPERLINK("https://www.oit.va.gov/Services/TRM/ToolPage.aspx?tid=13649^","Robotic Automation Studio")</f>
        <v>Robotic Automation Studio</v>
      </c>
      <c r="B6336" s="4" t="s">
        <v>154</v>
      </c>
      <c r="C6336" s="8" t="s">
        <v>5</v>
      </c>
      <c r="D6336" s="11" t="s">
        <v>1900</v>
      </c>
    </row>
    <row r="6337" spans="1:4" ht="30">
      <c r="A6337" s="5" t="str">
        <f>HYPERLINK("https://www.oit.va.gov/Services/TRM/ToolPage.aspx?tid=8517^","BeanShell")</f>
        <v>BeanShell</v>
      </c>
      <c r="B6337" s="4" t="s">
        <v>6335</v>
      </c>
      <c r="C6337" s="8" t="s">
        <v>5</v>
      </c>
      <c r="D6337" s="11" t="s">
        <v>5267</v>
      </c>
    </row>
    <row r="6338" spans="1:4" ht="30">
      <c r="A6338" s="5" t="str">
        <f>HYPERLINK("https://www.oit.va.gov/Services/TRM/ToolPage.aspx?tid=15926^","Pelco VideoXpert")</f>
        <v>Pelco VideoXpert</v>
      </c>
      <c r="B6338" s="4" t="s">
        <v>1829</v>
      </c>
      <c r="C6338" s="8" t="s">
        <v>5</v>
      </c>
      <c r="D6338" s="11" t="s">
        <v>1099</v>
      </c>
    </row>
    <row r="6339" spans="1:4" ht="30">
      <c r="A6339" s="5" t="str">
        <f>HYPERLINK("https://www.oit.va.gov/Services/TRM/ToolPage.aspx?tid=15150^","Endura WS5000")</f>
        <v>Endura WS5000</v>
      </c>
      <c r="B6339" s="4" t="s">
        <v>1829</v>
      </c>
      <c r="C6339" s="8" t="s">
        <v>5</v>
      </c>
      <c r="D6339" s="11" t="s">
        <v>4084</v>
      </c>
    </row>
    <row r="6340" spans="1:4" ht="30">
      <c r="A6340" s="5" t="str">
        <f>HYPERLINK("https://www.oit.va.gov/Services/TRM/ToolPage.aspx?tid=14039^","Pelco Digital Sentry (DS) ControlPoint")</f>
        <v>Pelco Digital Sentry (DS) ControlPoint</v>
      </c>
      <c r="B6340" s="4" t="s">
        <v>1829</v>
      </c>
      <c r="C6340" s="8" t="s">
        <v>5</v>
      </c>
      <c r="D6340" s="11" t="s">
        <v>530</v>
      </c>
    </row>
    <row r="6341" spans="1:4" ht="30">
      <c r="A6341" s="5" t="str">
        <f>HYPERLINK("https://www.oit.va.gov/Services/TRM/ToolPage.aspx?tid=7626^","Linguistic Inquiry and Word Count (LIWC)")</f>
        <v>Linguistic Inquiry and Word Count (LIWC)</v>
      </c>
      <c r="B6341" s="4" t="s">
        <v>1033</v>
      </c>
      <c r="C6341" s="8" t="s">
        <v>5</v>
      </c>
      <c r="D6341" s="11" t="s">
        <v>1034</v>
      </c>
    </row>
    <row r="6342" spans="1:4" ht="30">
      <c r="A6342" s="5" t="str">
        <f>HYPERLINK("https://www.oit.va.gov/Services/TRM/ToolPage.aspx?tid=7785^","PROC Latent Class Analysis (LCA) and PROC Latent Transition Analysis (LTA)")</f>
        <v>PROC Latent Class Analysis (LCA) and PROC Latent Transition Analysis (LTA)</v>
      </c>
      <c r="B6342" s="4" t="s">
        <v>8481</v>
      </c>
      <c r="C6342" s="8" t="s">
        <v>5</v>
      </c>
      <c r="D6342" s="11" t="s">
        <v>1462</v>
      </c>
    </row>
    <row r="6343" spans="1:4" ht="30">
      <c r="A6343" s="5" t="str">
        <f>HYPERLINK("https://www.oit.va.gov/Services/TRM/ToolPage.aspx?tid=11499^","WorldCard Pro")</f>
        <v>WorldCard Pro</v>
      </c>
      <c r="B6343" s="4" t="s">
        <v>8955</v>
      </c>
      <c r="C6343" s="8" t="s">
        <v>5</v>
      </c>
      <c r="D6343" s="11" t="s">
        <v>8956</v>
      </c>
    </row>
    <row r="6344" spans="1:4" ht="30">
      <c r="A6344" s="5" t="str">
        <f>HYPERLINK("https://www.oit.va.gov/Services/TRM/ToolPage.aspx?tid=8482^","WritePad Software Development Kit (SDK)")</f>
        <v>WritePad Software Development Kit (SDK)</v>
      </c>
      <c r="B6344" s="4" t="s">
        <v>5600</v>
      </c>
      <c r="C6344" s="8" t="s">
        <v>5</v>
      </c>
      <c r="D6344" s="11" t="s">
        <v>2138</v>
      </c>
    </row>
    <row r="6345" spans="1:4" ht="30">
      <c r="A6345" s="5" t="str">
        <f>HYPERLINK("https://www.oit.va.gov/Services/TRM/ToolPage.aspx?tid=14281^","PenVasc Vascular Information System (VIS)")</f>
        <v>PenVasc Vascular Information System (VIS)</v>
      </c>
      <c r="B6345" s="4" t="s">
        <v>1830</v>
      </c>
      <c r="C6345" s="8" t="s">
        <v>5</v>
      </c>
      <c r="D6345" s="11" t="s">
        <v>469</v>
      </c>
    </row>
    <row r="6346" spans="1:4" ht="30">
      <c r="A6346" s="5" t="str">
        <f>HYPERLINK("https://www.oit.va.gov/Services/TRM/ToolPage.aspx?tid=8999^","Pentalogic Reminder")</f>
        <v>Pentalogic Reminder</v>
      </c>
      <c r="B6346" s="4" t="s">
        <v>6995</v>
      </c>
      <c r="C6346" s="8" t="s">
        <v>5</v>
      </c>
      <c r="D6346" s="11" t="s">
        <v>5988</v>
      </c>
    </row>
    <row r="6347" spans="1:4" ht="30">
      <c r="A6347" s="5" t="str">
        <f>HYPERLINK("https://www.oit.va.gov/Services/TRM/ToolPage.aspx?tid=14526^","Visi-Pitch")</f>
        <v>Visi-Pitch</v>
      </c>
      <c r="B6347" s="4" t="s">
        <v>3620</v>
      </c>
      <c r="C6347" s="8" t="s">
        <v>5</v>
      </c>
      <c r="D6347" s="11" t="s">
        <v>3621</v>
      </c>
    </row>
    <row r="6348" spans="1:4" ht="30">
      <c r="A6348" s="5" t="str">
        <f>HYPERLINK("https://www.oit.va.gov/Services/TRM/ToolPage.aspx?tid=13228^","endoPortal")</f>
        <v>endoPortal</v>
      </c>
      <c r="B6348" s="4" t="s">
        <v>3620</v>
      </c>
      <c r="C6348" s="8" t="s">
        <v>5</v>
      </c>
      <c r="D6348" s="11" t="s">
        <v>7724</v>
      </c>
    </row>
    <row r="6349" spans="1:4" ht="30">
      <c r="A6349" s="5" t="str">
        <f>HYPERLINK("https://www.oit.va.gov/Services/TRM/ToolPage.aspx?tid=10904^","ExamShield")</f>
        <v>ExamShield</v>
      </c>
      <c r="B6349" s="4" t="s">
        <v>2568</v>
      </c>
      <c r="C6349" s="8" t="s">
        <v>5</v>
      </c>
      <c r="D6349" s="11" t="s">
        <v>2569</v>
      </c>
    </row>
    <row r="6350" spans="1:4" ht="30">
      <c r="A6350" s="5" t="str">
        <f>HYPERLINK("https://www.oit.va.gov/Services/TRM/ToolPage.aspx?tid=268^","Perforce Helix Core")</f>
        <v>Perforce Helix Core</v>
      </c>
      <c r="B6350" s="4" t="s">
        <v>3447</v>
      </c>
      <c r="C6350" s="8" t="s">
        <v>5</v>
      </c>
      <c r="D6350" s="11" t="s">
        <v>3448</v>
      </c>
    </row>
    <row r="6351" spans="1:4" ht="30">
      <c r="A6351" s="5" t="str">
        <f>HYPERLINK("https://www.oit.va.gov/Services/TRM/ToolPage.aspx?tid=6726^","Performance Logic (PL) Rounding Center")</f>
        <v>Performance Logic (PL) Rounding Center</v>
      </c>
      <c r="B6351" s="4" t="s">
        <v>241</v>
      </c>
      <c r="C6351" s="8" t="s">
        <v>5</v>
      </c>
      <c r="D6351" s="11" t="s">
        <v>242</v>
      </c>
    </row>
    <row r="6352" spans="1:4" ht="30">
      <c r="A6352" s="5" t="str">
        <f>HYPERLINK("https://www.oit.va.gov/Services/TRM/ToolPage.aspx?tid=11036^","Performance Logic Project Portfolio Manager (PPM)")</f>
        <v>Performance Logic Project Portfolio Manager (PPM)</v>
      </c>
      <c r="B6352" s="4" t="s">
        <v>241</v>
      </c>
      <c r="C6352" s="8" t="s">
        <v>5</v>
      </c>
      <c r="D6352" s="11" t="s">
        <v>3450</v>
      </c>
    </row>
    <row r="6353" spans="1:4" ht="30">
      <c r="A6353" s="5" t="str">
        <f>HYPERLINK("https://www.oit.va.gov/Services/TRM/ToolPage.aspx?tid=16836^","Perfusion Pro")</f>
        <v>Perfusion Pro</v>
      </c>
      <c r="B6353" s="4" t="s">
        <v>4588</v>
      </c>
      <c r="C6353" s="8" t="s">
        <v>5</v>
      </c>
      <c r="D6353" s="11" t="s">
        <v>4589</v>
      </c>
    </row>
    <row r="6354" spans="1:4" ht="30">
      <c r="A6354" s="5" t="str">
        <f>HYPERLINK("https://www.oit.va.gov/Services/TRM/ToolPage.aspx?tid=16206^","PeriopSim Learning System")</f>
        <v>PeriopSim Learning System</v>
      </c>
      <c r="B6354" s="4" t="s">
        <v>4590</v>
      </c>
      <c r="C6354" s="8" t="s">
        <v>5</v>
      </c>
      <c r="D6354" s="11" t="s">
        <v>4591</v>
      </c>
    </row>
    <row r="6355" spans="1:4" ht="30">
      <c r="A6355" s="5" t="str">
        <f>HYPERLINK("https://www.oit.va.gov/Services/TRM/ToolPage.aspx?tid=9193^","ChemDraw")</f>
        <v>ChemDraw</v>
      </c>
      <c r="B6355" s="4" t="s">
        <v>618</v>
      </c>
      <c r="C6355" s="8" t="s">
        <v>5</v>
      </c>
      <c r="D6355" s="11" t="s">
        <v>619</v>
      </c>
    </row>
    <row r="6356" spans="1:4" ht="30">
      <c r="A6356" s="5" t="str">
        <f>HYPERLINK("https://www.oit.va.gov/Services/TRM/ToolPage.aspx?tid=13007^","Living Image Software")</f>
        <v>Living Image Software</v>
      </c>
      <c r="B6356" s="4" t="s">
        <v>618</v>
      </c>
      <c r="C6356" s="8" t="s">
        <v>5</v>
      </c>
      <c r="D6356" s="11" t="s">
        <v>4372</v>
      </c>
    </row>
    <row r="6357" spans="1:4" ht="30">
      <c r="A6357" s="5" t="str">
        <f>HYPERLINK("https://www.oit.va.gov/Services/TRM/ToolPage.aspx?tid=10019^","FinchTV")</f>
        <v>FinchTV</v>
      </c>
      <c r="B6357" s="4" t="s">
        <v>618</v>
      </c>
      <c r="C6357" s="8" t="s">
        <v>5</v>
      </c>
      <c r="D6357" s="11" t="s">
        <v>7926</v>
      </c>
    </row>
    <row r="6358" spans="1:4" ht="30">
      <c r="A6358" s="5" t="str">
        <f>HYPERLINK("https://www.oit.va.gov/Services/TRM/ToolPage.aspx?tid=14797^","Perkins Electronic Service Tool")</f>
        <v>Perkins Electronic Service Tool</v>
      </c>
      <c r="B6358" s="4" t="s">
        <v>8419</v>
      </c>
      <c r="C6358" s="8" t="s">
        <v>5</v>
      </c>
      <c r="D6358" s="11" t="s">
        <v>3483</v>
      </c>
    </row>
    <row r="6359" spans="1:4" ht="30">
      <c r="A6359" s="5" t="str">
        <f>HYPERLINK("https://www.oit.va.gov/Services/TRM/StandardPage.aspx?tid=6212^","Perl Programming Language")</f>
        <v>Perl Programming Language</v>
      </c>
      <c r="B6359" s="4" t="s">
        <v>6998</v>
      </c>
      <c r="C6359" s="8" t="s">
        <v>5</v>
      </c>
      <c r="D6359" s="11" t="s">
        <v>1900</v>
      </c>
    </row>
    <row r="6360" spans="1:4" ht="30">
      <c r="A6360" s="5" t="str">
        <f>HYPERLINK("https://www.oit.va.gov/Services/TRM/ToolPage.aspx?tid=13745^","Perl-devel")</f>
        <v>Perl-devel</v>
      </c>
      <c r="B6360" s="4" t="s">
        <v>6998</v>
      </c>
      <c r="C6360" s="8" t="s">
        <v>5</v>
      </c>
      <c r="D6360" s="11" t="s">
        <v>3506</v>
      </c>
    </row>
    <row r="6361" spans="1:4" ht="30">
      <c r="A6361" s="5" t="str">
        <f>HYPERLINK("https://www.oit.va.gov/Services/TRM/ToolPage.aspx?tid=11790^","R-net Personal Computer (PC) Programmer")</f>
        <v>R-net Personal Computer (PC) Programmer</v>
      </c>
      <c r="B6361" s="4" t="s">
        <v>3493</v>
      </c>
      <c r="C6361" s="8" t="s">
        <v>5</v>
      </c>
      <c r="D6361" s="11" t="s">
        <v>3494</v>
      </c>
    </row>
    <row r="6362" spans="1:4" ht="30">
      <c r="A6362" s="5" t="str">
        <f>HYPERLINK("https://www.oit.va.gov/Services/TRM/ToolPage.aspx?tid=10666^","Virtual Seating Coach (VSC)")</f>
        <v>Virtual Seating Coach (VSC)</v>
      </c>
      <c r="B6362" s="4" t="s">
        <v>3493</v>
      </c>
      <c r="C6362" s="8" t="s">
        <v>5</v>
      </c>
      <c r="D6362" s="11" t="s">
        <v>3617</v>
      </c>
    </row>
    <row r="6363" spans="1:4" ht="30">
      <c r="A6363" s="5" t="str">
        <f>HYPERLINK("https://www.oit.va.gov/Services/TRM/ToolPage.aspx?tid=8734^","PERRLA")</f>
        <v>PERRLA</v>
      </c>
      <c r="B6363" s="4" t="s">
        <v>2848</v>
      </c>
      <c r="C6363" s="8" t="s">
        <v>5</v>
      </c>
      <c r="D6363" s="11" t="s">
        <v>530</v>
      </c>
    </row>
    <row r="6364" spans="1:4" ht="30">
      <c r="A6364" s="5" t="str">
        <f>HYPERLINK("https://www.oit.va.gov/Services/TRM/ToolPage.aspx?tid=16572^","Reflect XR")</f>
        <v>Reflect XR</v>
      </c>
      <c r="B6364" s="4" t="s">
        <v>3481</v>
      </c>
      <c r="C6364" s="8" t="s">
        <v>5</v>
      </c>
      <c r="D6364" s="11" t="s">
        <v>3482</v>
      </c>
    </row>
    <row r="6365" spans="1:4" ht="30">
      <c r="A6365" s="5" t="str">
        <f>HYPERLINK("https://www.oit.va.gov/Services/TRM/ToolPage.aspx?tid=9953^","AspUpload")</f>
        <v>AspUpload</v>
      </c>
      <c r="B6365" s="4" t="s">
        <v>5655</v>
      </c>
      <c r="C6365" s="8" t="s">
        <v>5</v>
      </c>
      <c r="D6365" s="11" t="s">
        <v>2222</v>
      </c>
    </row>
    <row r="6366" spans="1:4" ht="30">
      <c r="A6366" s="5" t="str">
        <f>HYPERLINK("https://www.oit.va.gov/Services/TRM/ToolPage.aspx?tid=15535^","Persyst")</f>
        <v>Persyst</v>
      </c>
      <c r="B6366" s="4" t="s">
        <v>1832</v>
      </c>
      <c r="C6366" s="8" t="s">
        <v>5</v>
      </c>
      <c r="D6366" s="11" t="s">
        <v>1184</v>
      </c>
    </row>
    <row r="6367" spans="1:4" ht="30">
      <c r="A6367" s="5" t="str">
        <f>HYPERLINK("https://www.oit.va.gov/Services/TRM/ToolPage.aspx?tid=16594^","Persyst Mobile Service")</f>
        <v>Persyst Mobile Service</v>
      </c>
      <c r="B6367" s="4" t="s">
        <v>1832</v>
      </c>
      <c r="C6367" s="8" t="s">
        <v>5</v>
      </c>
      <c r="D6367" s="11" t="s">
        <v>4593</v>
      </c>
    </row>
    <row r="6368" spans="1:4" ht="30">
      <c r="A6368" s="5" t="str">
        <f>HYPERLINK("https://www.oit.va.gov/Services/TRM/ToolPage.aspx?tid=13340^","QuPath")</f>
        <v>QuPath</v>
      </c>
      <c r="B6368" s="4" t="s">
        <v>8524</v>
      </c>
      <c r="C6368" s="8" t="s">
        <v>5</v>
      </c>
      <c r="D6368" s="11" t="s">
        <v>8525</v>
      </c>
    </row>
    <row r="6369" spans="1:4" ht="30">
      <c r="A6369" s="5" t="str">
        <f>HYPERLINK("https://www.oit.va.gov/Services/TRM/ToolPage.aspx?tid=12946^","Mail Redirect - Drupal Module")</f>
        <v>Mail Redirect - Drupal Module</v>
      </c>
      <c r="B6369" s="4" t="s">
        <v>6812</v>
      </c>
      <c r="C6369" s="8" t="s">
        <v>5</v>
      </c>
      <c r="D6369" s="11" t="s">
        <v>6813</v>
      </c>
    </row>
    <row r="6370" spans="1:4" ht="30">
      <c r="A6370" s="5" t="str">
        <f>HYPERLINK("https://www.oit.va.gov/Services/TRM/ToolPage.aspx?tid=15163^","Pevco Atlas")</f>
        <v>Pevco Atlas</v>
      </c>
      <c r="B6370" s="4" t="s">
        <v>1833</v>
      </c>
      <c r="C6370" s="8" t="s">
        <v>5</v>
      </c>
      <c r="D6370" s="11" t="s">
        <v>1834</v>
      </c>
    </row>
    <row r="6371" spans="1:4" ht="30">
      <c r="A6371" s="5" t="str">
        <f>HYPERLINK("https://www.oit.va.gov/Services/TRM/ToolPage.aspx?tid=9051^","Pexip Infinity")</f>
        <v>Pexip Infinity</v>
      </c>
      <c r="B6371" s="4" t="s">
        <v>807</v>
      </c>
      <c r="C6371" s="8" t="s">
        <v>5</v>
      </c>
      <c r="D6371" s="11" t="s">
        <v>808</v>
      </c>
    </row>
    <row r="6372" spans="1:4" ht="30">
      <c r="A6372" s="5" t="str">
        <f>HYPERLINK("https://www.oit.va.gov/Services/TRM/ToolPage.aspx?tid=15813^","Pexip Teams Connector")</f>
        <v>Pexip Teams Connector</v>
      </c>
      <c r="B6372" s="4" t="s">
        <v>807</v>
      </c>
      <c r="C6372" s="8" t="s">
        <v>5</v>
      </c>
      <c r="D6372" s="11" t="s">
        <v>1835</v>
      </c>
    </row>
    <row r="6373" spans="1:4" ht="30">
      <c r="A6373" s="5" t="str">
        <f>HYPERLINK("https://www.oit.va.gov/Services/TRM/ToolPage.aspx?tid=16685^","Pexip Infinity Connect (Desktop)")</f>
        <v>Pexip Infinity Connect (Desktop)</v>
      </c>
      <c r="B6373" s="4" t="s">
        <v>807</v>
      </c>
      <c r="C6373" s="8" t="s">
        <v>5</v>
      </c>
      <c r="D6373" s="11" t="s">
        <v>4594</v>
      </c>
    </row>
    <row r="6374" spans="1:4" ht="30">
      <c r="A6374" s="5" t="str">
        <f>HYPERLINK("https://www.oit.va.gov/Services/TRM/ToolPage.aspx?tid=10681^","Pexip Screensharing Extension")</f>
        <v>Pexip Screensharing Extension</v>
      </c>
      <c r="B6374" s="4" t="s">
        <v>807</v>
      </c>
      <c r="C6374" s="8" t="s">
        <v>5</v>
      </c>
      <c r="D6374" s="11" t="s">
        <v>530</v>
      </c>
    </row>
    <row r="6375" spans="1:4" ht="30">
      <c r="A6375" s="5" t="str">
        <f>HYPERLINK("https://www.oit.va.gov/Services/TRM/ToolPage.aspx?tid=6438^","Pexpect")</f>
        <v>Pexpect</v>
      </c>
      <c r="B6375" s="4" t="s">
        <v>5421</v>
      </c>
      <c r="C6375" s="8" t="s">
        <v>5</v>
      </c>
      <c r="D6375" s="11" t="s">
        <v>4875</v>
      </c>
    </row>
    <row r="6376" spans="1:4" ht="30">
      <c r="A6376" s="5" t="str">
        <f>HYPERLINK("https://www.oit.va.gov/Services/TRM/ToolPage.aspx?tid=8736^","pgAdmin")</f>
        <v>pgAdmin</v>
      </c>
      <c r="B6376" s="4" t="s">
        <v>2850</v>
      </c>
      <c r="C6376" s="8" t="s">
        <v>5</v>
      </c>
      <c r="D6376" s="11" t="s">
        <v>1230</v>
      </c>
    </row>
    <row r="6377" spans="1:4" ht="30">
      <c r="A6377" s="5" t="str">
        <f>HYPERLINK("https://www.oit.va.gov/Services/TRM/ToolPage.aspx?tid=10672^","pgRouting")</f>
        <v>pgRouting</v>
      </c>
      <c r="B6377" s="4" t="s">
        <v>5422</v>
      </c>
      <c r="C6377" s="8" t="s">
        <v>5</v>
      </c>
      <c r="D6377" s="11" t="s">
        <v>5423</v>
      </c>
    </row>
    <row r="6378" spans="1:4" ht="30">
      <c r="A6378" s="5" t="str">
        <f>HYPERLINK("https://www.oit.va.gov/Services/TRM/ToolPage.aspx?tid=8785^","PH-Schematron")</f>
        <v>PH-Schematron</v>
      </c>
      <c r="B6378" s="4" t="s">
        <v>7005</v>
      </c>
      <c r="C6378" s="8" t="s">
        <v>5</v>
      </c>
      <c r="D6378" s="11" t="s">
        <v>1782</v>
      </c>
    </row>
    <row r="6379" spans="1:4" ht="30">
      <c r="A6379" s="5" t="str">
        <f>HYPERLINK("https://www.oit.va.gov/Services/TRM/ToolPage.aspx?tid=6976^","LinFu Framework")</f>
        <v>LinFu Framework</v>
      </c>
      <c r="B6379" s="4" t="s">
        <v>8178</v>
      </c>
      <c r="C6379" s="8" t="s">
        <v>5</v>
      </c>
      <c r="D6379" s="11" t="s">
        <v>8179</v>
      </c>
    </row>
    <row r="6380" spans="1:4" ht="30">
      <c r="A6380" s="5" t="str">
        <f>HYPERLINK("https://www.oit.va.gov/Services/TRM/ToolPage.aspx?tid=11139^","Trivial File Transport Protocol Daemon 64 (Tftpd64)")</f>
        <v>Trivial File Transport Protocol Daemon 64 (Tftpd64)</v>
      </c>
      <c r="B6380" s="4" t="s">
        <v>7250</v>
      </c>
      <c r="C6380" s="8" t="s">
        <v>5</v>
      </c>
      <c r="D6380" s="11" t="s">
        <v>6219</v>
      </c>
    </row>
    <row r="6381" spans="1:4" ht="30">
      <c r="A6381" s="5" t="str">
        <f>HYPERLINK("https://www.oit.va.gov/Services/TRM/ToolPage.aspx?tid=5945^","DicomWorks")</f>
        <v>DicomWorks</v>
      </c>
      <c r="B6381" s="4" t="s">
        <v>7759</v>
      </c>
      <c r="C6381" s="8" t="s">
        <v>5</v>
      </c>
      <c r="D6381" s="11" t="s">
        <v>7760</v>
      </c>
    </row>
    <row r="6382" spans="1:4" ht="30">
      <c r="A6382" s="5" t="str">
        <f>HYPERLINK("https://www.oit.va.gov/Services/TRM/ToolPage.aspx?tid=11806^","CompuRecord")</f>
        <v>CompuRecord</v>
      </c>
      <c r="B6382" s="4" t="s">
        <v>1454</v>
      </c>
      <c r="C6382" s="8" t="s">
        <v>5</v>
      </c>
      <c r="D6382" s="11" t="s">
        <v>553</v>
      </c>
    </row>
    <row r="6383" spans="1:4" ht="30">
      <c r="A6383" s="5" t="str">
        <f>HYPERLINK("https://www.oit.va.gov/Services/TRM/ToolPage.aspx?tid=11637^","IntelliSpace Cardiovascular (ISCV)")</f>
        <v>IntelliSpace Cardiovascular (ISCV)</v>
      </c>
      <c r="B6383" s="4" t="s">
        <v>1454</v>
      </c>
      <c r="C6383" s="8" t="s">
        <v>5</v>
      </c>
      <c r="D6383" s="11" t="s">
        <v>1639</v>
      </c>
    </row>
    <row r="6384" spans="1:4" ht="30">
      <c r="A6384" s="5" t="str">
        <f>HYPERLINK("https://www.oit.va.gov/Services/TRM/ToolPage.aspx?tid=10542^","IntelliSpace Portal")</f>
        <v>IntelliSpace Portal</v>
      </c>
      <c r="B6384" s="4" t="s">
        <v>1454</v>
      </c>
      <c r="C6384" s="8" t="s">
        <v>5</v>
      </c>
      <c r="D6384" s="11" t="s">
        <v>1640</v>
      </c>
    </row>
    <row r="6385" spans="1:4" ht="30">
      <c r="A6385" s="5" t="str">
        <f>HYPERLINK("https://www.oit.va.gov/Services/TRM/ToolPage.aspx?tid=6009^","IntelliSpace Radiology")</f>
        <v>IntelliSpace Radiology</v>
      </c>
      <c r="B6385" s="4" t="s">
        <v>1454</v>
      </c>
      <c r="C6385" s="8" t="s">
        <v>5</v>
      </c>
      <c r="D6385" s="11" t="s">
        <v>1641</v>
      </c>
    </row>
    <row r="6386" spans="1:4" ht="30">
      <c r="A6386" s="5" t="str">
        <f>HYPERLINK("https://www.oit.va.gov/Services/TRM/ToolPage.aspx?tid=9705^","Philips Vue PACS")</f>
        <v>Philips Vue PACS</v>
      </c>
      <c r="B6386" s="4" t="s">
        <v>1454</v>
      </c>
      <c r="C6386" s="8" t="s">
        <v>5</v>
      </c>
      <c r="D6386" s="11" t="s">
        <v>149</v>
      </c>
    </row>
    <row r="6387" spans="1:4" ht="30">
      <c r="A6387" s="5" t="str">
        <f>HYPERLINK("https://www.oit.va.gov/Services/TRM/ToolPage.aspx?tid=7120^","SpeechExec Pro")</f>
        <v>SpeechExec Pro</v>
      </c>
      <c r="B6387" s="4" t="s">
        <v>1454</v>
      </c>
      <c r="C6387" s="8" t="s">
        <v>5</v>
      </c>
      <c r="D6387" s="11" t="s">
        <v>1952</v>
      </c>
    </row>
    <row r="6388" spans="1:4" ht="30">
      <c r="A6388" s="5" t="str">
        <f>HYPERLINK("https://www.oit.va.gov/Services/TRM/ToolPage.aspx?tid=8617^","Actiware")</f>
        <v>Actiware</v>
      </c>
      <c r="B6388" s="4" t="s">
        <v>1454</v>
      </c>
      <c r="C6388" s="8" t="s">
        <v>5</v>
      </c>
      <c r="D6388" s="11" t="s">
        <v>2354</v>
      </c>
    </row>
    <row r="6389" spans="1:4" ht="30">
      <c r="A6389" s="5" t="str">
        <f>HYPERLINK("https://www.oit.va.gov/Services/TRM/ToolPage.aspx?tid=16573^","Philips QLAB")</f>
        <v>Philips QLAB</v>
      </c>
      <c r="B6389" s="4" t="s">
        <v>1454</v>
      </c>
      <c r="C6389" s="8" t="s">
        <v>5</v>
      </c>
      <c r="D6389" s="11" t="s">
        <v>2851</v>
      </c>
    </row>
    <row r="6390" spans="1:4" ht="30">
      <c r="A6390" s="5" t="str">
        <f>HYPERLINK("https://www.oit.va.gov/Services/TRM/ToolPage.aspx?tid=15623^","Philips Respironics Mask Selector Three-dimensional (3D)")</f>
        <v>Philips Respironics Mask Selector Three-dimensional (3D)</v>
      </c>
      <c r="B6390" s="4" t="s">
        <v>1454</v>
      </c>
      <c r="C6390" s="8" t="s">
        <v>5</v>
      </c>
      <c r="D6390" s="11" t="s">
        <v>2852</v>
      </c>
    </row>
    <row r="6391" spans="1:4" ht="30">
      <c r="A6391" s="5" t="str">
        <f>HYPERLINK("https://www.oit.va.gov/Services/TRM/ToolPage.aspx?tid=7934^","Xper Information Management")</f>
        <v>Xper Information Management</v>
      </c>
      <c r="B6391" s="4" t="s">
        <v>1454</v>
      </c>
      <c r="C6391" s="8" t="s">
        <v>5</v>
      </c>
      <c r="D6391" s="11" t="s">
        <v>2924</v>
      </c>
    </row>
    <row r="6392" spans="1:4" ht="30">
      <c r="A6392" s="5" t="str">
        <f>HYPERLINK("https://www.oit.va.gov/Services/TRM/ToolPage.aspx?tid=10038^","Pinnacle3 Radiation Treatment Planning")</f>
        <v>Pinnacle3 Radiation Treatment Planning</v>
      </c>
      <c r="B6392" s="4" t="s">
        <v>1454</v>
      </c>
      <c r="C6392" s="8" t="s">
        <v>5</v>
      </c>
      <c r="D6392" s="11" t="s">
        <v>3454</v>
      </c>
    </row>
    <row r="6393" spans="1:4" ht="30">
      <c r="A6393" s="5" t="str">
        <f>HYPERLINK("https://www.oit.va.gov/Services/TRM/ToolPage.aspx?tid=9872^","eCareManager")</f>
        <v>eCareManager</v>
      </c>
      <c r="B6393" s="4" t="s">
        <v>1454</v>
      </c>
      <c r="C6393" s="8" t="s">
        <v>5</v>
      </c>
      <c r="D6393" s="11" t="s">
        <v>360</v>
      </c>
    </row>
    <row r="6394" spans="1:4" ht="30">
      <c r="A6394" s="5" t="str">
        <f>HYPERLINK("https://www.oit.va.gov/Services/TRM/ToolPage.aspx?tid=7218^","EncorePro 2")</f>
        <v>EncorePro 2</v>
      </c>
      <c r="B6394" s="4" t="s">
        <v>1454</v>
      </c>
      <c r="C6394" s="8" t="s">
        <v>5</v>
      </c>
      <c r="D6394" s="11" t="s">
        <v>806</v>
      </c>
    </row>
    <row r="6395" spans="1:4" ht="30">
      <c r="A6395" s="5" t="str">
        <f>HYPERLINK("https://www.oit.va.gov/Services/TRM/ToolPage.aspx?tid=10192^","IntelliBridge Enterprise (IBE)")</f>
        <v>IntelliBridge Enterprise (IBE)</v>
      </c>
      <c r="B6395" s="4" t="s">
        <v>1454</v>
      </c>
      <c r="C6395" s="8" t="s">
        <v>5</v>
      </c>
      <c r="D6395" s="11" t="s">
        <v>4268</v>
      </c>
    </row>
    <row r="6396" spans="1:4" ht="30">
      <c r="A6396" s="5" t="str">
        <f>HYPERLINK("https://www.oit.va.gov/Services/TRM/ToolPage.aspx?tid=16693^","IntelliSpace Radiology Enterprise")</f>
        <v>IntelliSpace Radiology Enterprise</v>
      </c>
      <c r="B6396" s="4" t="s">
        <v>1454</v>
      </c>
      <c r="C6396" s="8" t="s">
        <v>5</v>
      </c>
      <c r="D6396" s="11" t="s">
        <v>4271</v>
      </c>
    </row>
    <row r="6397" spans="1:4" ht="30">
      <c r="A6397" s="5" t="str">
        <f>HYPERLINK("https://www.oit.va.gov/Services/TRM/ToolPage.aspx?tid=10398^","IntelliVue Monitor Support Tool")</f>
        <v>IntelliVue Monitor Support Tool</v>
      </c>
      <c r="B6397" s="4" t="s">
        <v>1454</v>
      </c>
      <c r="C6397" s="8" t="s">
        <v>5</v>
      </c>
      <c r="D6397" s="11" t="s">
        <v>4272</v>
      </c>
    </row>
    <row r="6398" spans="1:4" ht="30">
      <c r="A6398" s="5" t="str">
        <f>HYPERLINK("https://www.oit.va.gov/Services/TRM/ToolPage.aspx?tid=13771^","IntelliVue Clinical Information Portfolio (ICIP)")</f>
        <v>IntelliVue Clinical Information Portfolio (ICIP)</v>
      </c>
      <c r="B6398" s="4" t="s">
        <v>1454</v>
      </c>
      <c r="C6398" s="8" t="s">
        <v>5</v>
      </c>
      <c r="D6398" s="11" t="s">
        <v>5256</v>
      </c>
    </row>
    <row r="6399" spans="1:4" ht="30">
      <c r="A6399" s="5" t="str">
        <f>HYPERLINK("https://www.oit.va.gov/Services/TRM/ToolPage.aspx?tid=16776^","Advanced Visualization Workspace")</f>
        <v>Advanced Visualization Workspace</v>
      </c>
      <c r="B6399" s="4" t="s">
        <v>1454</v>
      </c>
      <c r="C6399" s="8" t="s">
        <v>5</v>
      </c>
      <c r="D6399" s="11" t="s">
        <v>362</v>
      </c>
    </row>
    <row r="6400" spans="1:4" ht="30">
      <c r="A6400" s="5" t="str">
        <f>HYPERLINK("https://www.oit.va.gov/Services/TRM/ToolPage.aspx?tid=9022^","DirectView")</f>
        <v>DirectView</v>
      </c>
      <c r="B6400" s="4" t="s">
        <v>1454</v>
      </c>
      <c r="C6400" s="8" t="s">
        <v>5</v>
      </c>
      <c r="D6400" s="11" t="s">
        <v>3981</v>
      </c>
    </row>
    <row r="6401" spans="1:4" ht="30">
      <c r="A6401" s="5" t="str">
        <f>HYPERLINK("https://www.oit.va.gov/Services/TRM/ToolPage.aspx?tid=10528^","DoseWise Portal")</f>
        <v>DoseWise Portal</v>
      </c>
      <c r="B6401" s="4" t="s">
        <v>1454</v>
      </c>
      <c r="C6401" s="8" t="s">
        <v>5</v>
      </c>
      <c r="D6401" s="11" t="s">
        <v>5775</v>
      </c>
    </row>
    <row r="6402" spans="1:4" ht="30">
      <c r="A6402" s="5" t="str">
        <f>HYPERLINK("https://www.oit.va.gov/Services/TRM/ToolPage.aspx?tid=15327^","EPIQ 7 Ultrasound System Software")</f>
        <v>EPIQ 7 Ultrasound System Software</v>
      </c>
      <c r="B6402" s="4" t="s">
        <v>1454</v>
      </c>
      <c r="C6402" s="8" t="s">
        <v>5</v>
      </c>
      <c r="D6402" s="11" t="s">
        <v>5532</v>
      </c>
    </row>
    <row r="6403" spans="1:4" ht="30">
      <c r="A6403" s="5" t="str">
        <f>HYPERLINK("https://www.oit.va.gov/Services/TRM/ToolPage.aspx?tid=15096^","Intergrated Security Tool (IST)")</f>
        <v>Intergrated Security Tool (IST)</v>
      </c>
      <c r="B6403" s="4" t="s">
        <v>1454</v>
      </c>
      <c r="C6403" s="8" t="s">
        <v>5</v>
      </c>
      <c r="D6403" s="11" t="s">
        <v>4369</v>
      </c>
    </row>
    <row r="6404" spans="1:4" ht="30">
      <c r="A6404" s="5" t="str">
        <f>HYPERLINK("https://www.oit.va.gov/Services/TRM/ToolPage.aspx?tid=11703^","OmniLab Direct")</f>
        <v>OmniLab Direct</v>
      </c>
      <c r="B6404" s="4" t="s">
        <v>1454</v>
      </c>
      <c r="C6404" s="8" t="s">
        <v>5</v>
      </c>
      <c r="D6404" s="11" t="s">
        <v>5978</v>
      </c>
    </row>
    <row r="6405" spans="1:4" ht="30">
      <c r="A6405" s="5" t="str">
        <f>HYPERLINK("https://www.oit.va.gov/Services/TRM/ToolPage.aspx?tid=11782^","Patient Information Center iX (PIC iX)")</f>
        <v>Patient Information Center iX (PIC iX)</v>
      </c>
      <c r="B6405" s="4" t="s">
        <v>1454</v>
      </c>
      <c r="C6405" s="8" t="s">
        <v>5</v>
      </c>
      <c r="D6405" s="11" t="s">
        <v>2051</v>
      </c>
    </row>
    <row r="6406" spans="1:4" ht="30">
      <c r="A6406" s="5" t="str">
        <f>HYPERLINK("https://www.oit.va.gov/Services/TRM/ToolPage.aspx?tid=8432^","Sleepware G3")</f>
        <v>Sleepware G3</v>
      </c>
      <c r="B6406" s="4" t="s">
        <v>1454</v>
      </c>
      <c r="C6406" s="8" t="s">
        <v>5</v>
      </c>
      <c r="D6406" s="11" t="s">
        <v>4896</v>
      </c>
    </row>
    <row r="6407" spans="1:4" ht="30">
      <c r="A6407" s="5" t="str">
        <f>HYPERLINK("https://www.oit.va.gov/Services/TRM/ToolPage.aspx?tid=6187^","Xcelera")</f>
        <v>Xcelera</v>
      </c>
      <c r="B6407" s="4" t="s">
        <v>1454</v>
      </c>
      <c r="C6407" s="8" t="s">
        <v>5</v>
      </c>
      <c r="D6407" s="11" t="s">
        <v>2439</v>
      </c>
    </row>
    <row r="6408" spans="1:4" ht="30">
      <c r="A6408" s="5" t="str">
        <f>HYPERLINK("https://www.oit.va.gov/Services/TRM/ToolPage.aspx?tid=10209^","Actical Software")</f>
        <v>Actical Software</v>
      </c>
      <c r="B6408" s="4" t="s">
        <v>1454</v>
      </c>
      <c r="C6408" s="8" t="s">
        <v>5</v>
      </c>
      <c r="D6408" s="11" t="s">
        <v>1016</v>
      </c>
    </row>
    <row r="6409" spans="1:4" ht="30">
      <c r="A6409" s="5" t="str">
        <f>HYPERLINK("https://www.oit.va.gov/Services/TRM/ToolPage.aspx?tid=8148^","HeartStart Event Review Pro")</f>
        <v>HeartStart Event Review Pro</v>
      </c>
      <c r="B6409" s="4" t="s">
        <v>1454</v>
      </c>
      <c r="C6409" s="8" t="s">
        <v>5</v>
      </c>
      <c r="D6409" s="11" t="s">
        <v>3102</v>
      </c>
    </row>
    <row r="6410" spans="1:4" ht="30">
      <c r="A6410" s="5" t="str">
        <f>HYPERLINK("https://www.oit.va.gov/Services/TRM/ToolPage.aspx?tid=15195^","Philips Respironics Data Card Utility")</f>
        <v>Philips Respironics Data Card Utility</v>
      </c>
      <c r="B6410" s="4" t="s">
        <v>1454</v>
      </c>
      <c r="C6410" s="8" t="s">
        <v>5</v>
      </c>
      <c r="D6410" s="11" t="s">
        <v>5469</v>
      </c>
    </row>
    <row r="6411" spans="1:4" ht="30">
      <c r="A6411" s="5" t="str">
        <f>HYPERLINK("https://www.oit.va.gov/Services/TRM/ToolPage.aspx?tid=10331^","Stardust Host Software")</f>
        <v>Stardust Host Software</v>
      </c>
      <c r="B6411" s="4" t="s">
        <v>1454</v>
      </c>
      <c r="C6411" s="8" t="s">
        <v>5</v>
      </c>
      <c r="D6411" s="11" t="s">
        <v>7183</v>
      </c>
    </row>
    <row r="6412" spans="1:4" ht="30">
      <c r="A6412" s="5" t="str">
        <f>HYPERLINK("https://www.oit.va.gov/Services/TRM/ToolPage.aspx?tid=9440^","ComboMap")</f>
        <v>ComboMap</v>
      </c>
      <c r="B6412" s="4" t="s">
        <v>1454</v>
      </c>
      <c r="C6412" s="8" t="s">
        <v>5</v>
      </c>
      <c r="D6412" s="11" t="s">
        <v>7679</v>
      </c>
    </row>
    <row r="6413" spans="1:4" ht="30">
      <c r="A6413" s="5" t="str">
        <f>HYPERLINK("https://www.oit.va.gov/Services/TRM/ToolPage.aspx?tid=9827^","I-neb Insight")</f>
        <v>I-neb Insight</v>
      </c>
      <c r="B6413" s="4" t="s">
        <v>1454</v>
      </c>
      <c r="C6413" s="8" t="s">
        <v>5</v>
      </c>
      <c r="D6413" s="11" t="s">
        <v>8076</v>
      </c>
    </row>
    <row r="6414" spans="1:4" ht="30">
      <c r="A6414" s="5" t="str">
        <f>HYPERLINK("https://www.oit.va.gov/Services/TRM/ToolPage.aspx?tid=10664^","Philips Device Control Center")</f>
        <v>Philips Device Control Center</v>
      </c>
      <c r="B6414" s="4" t="s">
        <v>1454</v>
      </c>
      <c r="C6414" s="8" t="s">
        <v>5</v>
      </c>
      <c r="D6414" s="11" t="s">
        <v>8426</v>
      </c>
    </row>
    <row r="6415" spans="1:4" ht="30">
      <c r="A6415" s="5" t="str">
        <f>HYPERLINK("https://www.oit.va.gov/Services/TRM/ToolPage.aspx?tid=9404^","Philips Holter Monitoring Software")</f>
        <v>Philips Holter Monitoring Software</v>
      </c>
      <c r="B6415" s="4" t="s">
        <v>1454</v>
      </c>
      <c r="C6415" s="8" t="s">
        <v>5</v>
      </c>
      <c r="D6415" s="11" t="s">
        <v>4561</v>
      </c>
    </row>
    <row r="6416" spans="1:4" ht="30">
      <c r="A6416" s="5" t="str">
        <f>HYPERLINK("https://www.oit.va.gov/Services/TRM/ToolPage.aspx?tid=10253^","Q-Station")</f>
        <v>Q-Station</v>
      </c>
      <c r="B6416" s="4" t="s">
        <v>1454</v>
      </c>
      <c r="C6416" s="8" t="s">
        <v>5</v>
      </c>
      <c r="D6416" s="11" t="s">
        <v>8514</v>
      </c>
    </row>
    <row r="6417" spans="1:4" ht="30">
      <c r="A6417" s="5" t="str">
        <f>HYPERLINK("https://www.oit.va.gov/Services/TRM/ToolPage.aspx?tid=6184^","WirelessOffice Messenger")</f>
        <v>WirelessOffice Messenger</v>
      </c>
      <c r="B6417" s="4" t="s">
        <v>1454</v>
      </c>
      <c r="C6417" s="8" t="s">
        <v>5</v>
      </c>
      <c r="D6417" s="11" t="s">
        <v>8474</v>
      </c>
    </row>
    <row r="6418" spans="1:4" ht="30">
      <c r="A6418" s="5" t="str">
        <f>HYPERLINK("https://www.oit.va.gov/Services/TRM/ToolPage.aspx?tid=9027^","Polygraphic Recording Analyzer (PRANA) Software Suite")</f>
        <v>Polygraphic Recording Analyzer (PRANA) Software Suite</v>
      </c>
      <c r="B6418" s="4" t="s">
        <v>3123</v>
      </c>
      <c r="C6418" s="8" t="s">
        <v>5</v>
      </c>
      <c r="D6418" s="11" t="s">
        <v>3124</v>
      </c>
    </row>
    <row r="6419" spans="1:4" ht="30">
      <c r="A6419" s="5" t="str">
        <f>HYPERLINK("https://www.oit.va.gov/Services/TRM/ToolPage.aspx?tid=8877^","E Job Entry Subsystem ((E)JES)")</f>
        <v>E Job Entry Subsystem ((E)JES)</v>
      </c>
      <c r="B6419" s="4" t="s">
        <v>4055</v>
      </c>
      <c r="C6419" s="8" t="s">
        <v>5</v>
      </c>
      <c r="D6419" s="11" t="s">
        <v>3996</v>
      </c>
    </row>
    <row r="6420" spans="1:4" ht="30">
      <c r="A6420" s="5" t="str">
        <f>HYPERLINK("https://www.oit.va.gov/Services/TRM/ToolPage.aspx?tid=14904^","Job Entry Subsystem (JES3plus)")</f>
        <v>Job Entry Subsystem (JES3plus)</v>
      </c>
      <c r="B6420" s="4" t="s">
        <v>4055</v>
      </c>
      <c r="C6420" s="8" t="s">
        <v>5</v>
      </c>
      <c r="D6420" s="11" t="s">
        <v>4313</v>
      </c>
    </row>
    <row r="6421" spans="1:4" ht="30">
      <c r="A6421" s="5" t="str">
        <f>HYPERLINK("https://www.oit.va.gov/Services/TRM/ToolPage.aspx?tid=6990^","Phonak Target")</f>
        <v>Phonak Target</v>
      </c>
      <c r="B6421" s="4" t="s">
        <v>1836</v>
      </c>
      <c r="C6421" s="8" t="s">
        <v>5</v>
      </c>
      <c r="D6421" s="11" t="s">
        <v>1837</v>
      </c>
    </row>
    <row r="6422" spans="1:4" ht="30">
      <c r="A6422" s="5" t="str">
        <f>HYPERLINK("https://www.oit.va.gov/Services/TRM/ToolPage.aspx?tid=8345^","Listening in Spatialized Noise-Sentences Test (LiSN-S)")</f>
        <v>Listening in Spatialized Noise-Sentences Test (LiSN-S)</v>
      </c>
      <c r="B6422" s="4" t="s">
        <v>1836</v>
      </c>
      <c r="C6422" s="8" t="s">
        <v>5</v>
      </c>
      <c r="D6422" s="11" t="s">
        <v>5308</v>
      </c>
    </row>
    <row r="6423" spans="1:4" ht="30">
      <c r="A6423" s="5" t="str">
        <f>HYPERLINK("https://www.oit.va.gov/Services/TRM/ToolPage.aspx?tid=13970^","Crypt_GPG")</f>
        <v>Crypt_GPG</v>
      </c>
      <c r="B6423" s="4" t="s">
        <v>6471</v>
      </c>
      <c r="C6423" s="8" t="s">
        <v>5</v>
      </c>
      <c r="D6423" s="11" t="s">
        <v>1462</v>
      </c>
    </row>
    <row r="6424" spans="1:4" ht="30">
      <c r="A6424" s="5" t="str">
        <f>HYPERLINK("https://www.oit.va.gov/Services/TRM/ToolPage.aspx?tid=5523^","Personal Home Page (PHP) Hypertext Preprocessor")</f>
        <v>Personal Home Page (PHP) Hypertext Preprocessor</v>
      </c>
      <c r="B6424" s="4" t="s">
        <v>1831</v>
      </c>
      <c r="C6424" s="8" t="s">
        <v>5</v>
      </c>
      <c r="D6424" s="11" t="s">
        <v>1825</v>
      </c>
    </row>
    <row r="6425" spans="1:4" ht="30">
      <c r="A6425" s="5" t="str">
        <f>HYPERLINK("https://www.oit.va.gov/Services/TRM/ToolPage.aspx?tid=7043^","concrete5")</f>
        <v>concrete5</v>
      </c>
      <c r="B6425" s="4" t="s">
        <v>1831</v>
      </c>
      <c r="C6425" s="8" t="s">
        <v>5</v>
      </c>
      <c r="D6425" s="11" t="s">
        <v>1157</v>
      </c>
    </row>
    <row r="6426" spans="1:4" ht="30">
      <c r="A6426" s="5" t="str">
        <f>HYPERLINK("https://www.oit.va.gov/Services/TRM/ToolPage.aspx?tid=13093^","Acquire &amp; Analyze Revision II")</f>
        <v>Acquire &amp; Analyze Revision II</v>
      </c>
      <c r="B6426" s="4" t="s">
        <v>3136</v>
      </c>
      <c r="C6426" s="8" t="s">
        <v>5</v>
      </c>
      <c r="D6426" s="11" t="s">
        <v>3137</v>
      </c>
    </row>
    <row r="6427" spans="1:4" ht="30">
      <c r="A6427" s="5" t="str">
        <f>HYPERLINK("https://www.oit.va.gov/Services/TRM/ToolPage.aspx?tid=11507^","PICIS Critical Care Manager")</f>
        <v>PICIS Critical Care Manager</v>
      </c>
      <c r="B6427" s="4" t="s">
        <v>2855</v>
      </c>
      <c r="C6427" s="8" t="s">
        <v>5</v>
      </c>
      <c r="D6427" s="11" t="s">
        <v>2856</v>
      </c>
    </row>
    <row r="6428" spans="1:4" ht="30">
      <c r="A6428" s="5" t="str">
        <f>HYPERLINK("https://www.oit.va.gov/Services/TRM/ToolPage.aspx?tid=15460^","Picis OR Manager")</f>
        <v>Picis OR Manager</v>
      </c>
      <c r="B6428" s="4" t="s">
        <v>2855</v>
      </c>
      <c r="C6428" s="8" t="s">
        <v>5</v>
      </c>
      <c r="D6428" s="11" t="s">
        <v>271</v>
      </c>
    </row>
    <row r="6429" spans="1:4" ht="30">
      <c r="A6429" s="5" t="str">
        <f>HYPERLINK("https://www.oit.va.gov/Services/TRM/ToolPage.aspx?tid=6991^","Picis Perioperative Solutions")</f>
        <v>Picis Perioperative Solutions</v>
      </c>
      <c r="B6429" s="4" t="s">
        <v>2855</v>
      </c>
      <c r="C6429" s="8" t="s">
        <v>5</v>
      </c>
      <c r="D6429" s="11" t="s">
        <v>8432</v>
      </c>
    </row>
    <row r="6430" spans="1:4" ht="30">
      <c r="A6430" s="5" t="str">
        <f>HYPERLINK("https://www.oit.va.gov/Services/TRM/ToolPage.aspx?tid=14952^","inteleWare")</f>
        <v>inteleWare</v>
      </c>
      <c r="B6430" s="4" t="s">
        <v>5881</v>
      </c>
      <c r="C6430" s="8" t="s">
        <v>5</v>
      </c>
      <c r="D6430" s="11" t="s">
        <v>3053</v>
      </c>
    </row>
    <row r="6431" spans="1:4" ht="30">
      <c r="A6431" s="5" t="str">
        <f>HYPERLINK("https://www.oit.va.gov/Services/TRM/ToolPage.aspx?tid=13001^","intelePharmacy Will Call System (WCS)")</f>
        <v>intelePharmacy Will Call System (WCS)</v>
      </c>
      <c r="B6431" s="4" t="s">
        <v>5881</v>
      </c>
      <c r="C6431" s="8" t="s">
        <v>5</v>
      </c>
      <c r="D6431" s="11" t="s">
        <v>6743</v>
      </c>
    </row>
    <row r="6432" spans="1:4" ht="30">
      <c r="A6432" s="5" t="str">
        <f>HYPERLINK("https://www.oit.va.gov/Services/TRM/ToolPage.aspx?tid=13855^","3mensio Workstation")</f>
        <v>3mensio Workstation</v>
      </c>
      <c r="B6432" s="4" t="s">
        <v>2339</v>
      </c>
      <c r="C6432" s="8" t="s">
        <v>5</v>
      </c>
      <c r="D6432" s="11" t="s">
        <v>55</v>
      </c>
    </row>
    <row r="6433" spans="1:4" ht="30">
      <c r="A6433" s="5" t="str">
        <f>HYPERLINK("https://www.oit.va.gov/Services/TRM/ToolPage.aspx?tid=14694^","Cardiovascular Angiography Analysis System (CAAS) Workstation")</f>
        <v>Cardiovascular Angiography Analysis System (CAAS) Workstation</v>
      </c>
      <c r="B6433" s="4" t="s">
        <v>2339</v>
      </c>
      <c r="C6433" s="8" t="s">
        <v>5</v>
      </c>
      <c r="D6433" s="11" t="s">
        <v>6378</v>
      </c>
    </row>
    <row r="6434" spans="1:4" ht="30">
      <c r="A6434" s="5" t="str">
        <f>HYPERLINK("https://www.oit.va.gov/Services/TRM/ToolPage.aspx?tid=16397^","Pilotfish eiConsole")</f>
        <v>Pilotfish eiConsole</v>
      </c>
      <c r="B6434" s="4" t="s">
        <v>1839</v>
      </c>
      <c r="C6434" s="8" t="s">
        <v>5</v>
      </c>
      <c r="D6434" s="11" t="s">
        <v>1840</v>
      </c>
    </row>
    <row r="6435" spans="1:4" ht="30">
      <c r="A6435" s="5" t="str">
        <f>HYPERLINK("https://www.oit.va.gov/Services/TRM/ToolPage.aspx?tid=9554^","Electronic Career Planner")</f>
        <v>Electronic Career Planner</v>
      </c>
      <c r="B6435" s="4" t="s">
        <v>7844</v>
      </c>
      <c r="C6435" s="8" t="s">
        <v>5</v>
      </c>
      <c r="D6435" s="11" t="s">
        <v>7845</v>
      </c>
    </row>
    <row r="6436" spans="1:4" ht="30">
      <c r="A6436" s="5" t="str">
        <f>HYPERLINK("https://www.oit.va.gov/Services/TRM/ToolPage.aspx?tid=15061^","PingPlotter")</f>
        <v>PingPlotter</v>
      </c>
      <c r="B6436" s="4" t="s">
        <v>4605</v>
      </c>
      <c r="C6436" s="8" t="s">
        <v>5</v>
      </c>
      <c r="D6436" s="11" t="s">
        <v>4606</v>
      </c>
    </row>
    <row r="6437" spans="1:4" ht="30">
      <c r="A6437" s="5" t="str">
        <f>HYPERLINK("https://www.oit.va.gov/Services/TRM/ToolPage.aspx?tid=14652^","Hollywood FX Volume 3")</f>
        <v>Hollywood FX Volume 3</v>
      </c>
      <c r="B6437" s="4" t="s">
        <v>8032</v>
      </c>
      <c r="C6437" s="8" t="s">
        <v>5</v>
      </c>
      <c r="D6437" s="11" t="s">
        <v>8033</v>
      </c>
    </row>
    <row r="6438" spans="1:4" ht="30">
      <c r="A6438" s="5" t="str">
        <f>HYPERLINK("https://www.oit.va.gov/Services/TRM/ToolPage.aspx?tid=16565^","Sirenia Sleep Pro")</f>
        <v>Sirenia Sleep Pro</v>
      </c>
      <c r="B6438" s="4" t="s">
        <v>1106</v>
      </c>
      <c r="C6438" s="8" t="s">
        <v>5</v>
      </c>
      <c r="D6438" s="11" t="s">
        <v>1107</v>
      </c>
    </row>
    <row r="6439" spans="1:4" ht="30">
      <c r="A6439" s="5" t="str">
        <f>HYPERLINK("https://www.oit.va.gov/Services/TRM/ToolPage.aspx?tid=10340^","Fast-Scan Cyclic Voltammetry (FSCV) Software")</f>
        <v>Fast-Scan Cyclic Voltammetry (FSCV) Software</v>
      </c>
      <c r="B6439" s="4" t="s">
        <v>1106</v>
      </c>
      <c r="C6439" s="8" t="s">
        <v>5</v>
      </c>
      <c r="D6439" s="11" t="s">
        <v>3297</v>
      </c>
    </row>
    <row r="6440" spans="1:4" ht="30">
      <c r="A6440" s="5" t="str">
        <f>HYPERLINK("https://www.oit.va.gov/Services/TRM/ToolPage.aspx?tid=14978^","American HealthTech (AHT) Smart Charting System")</f>
        <v>American HealthTech (AHT) Smart Charting System</v>
      </c>
      <c r="B6440" s="4" t="s">
        <v>3739</v>
      </c>
      <c r="C6440" s="8" t="s">
        <v>5</v>
      </c>
      <c r="D6440" s="11" t="s">
        <v>3740</v>
      </c>
    </row>
    <row r="6441" spans="1:4" ht="30">
      <c r="A6441" s="5" t="str">
        <f>HYPERLINK("https://www.oit.va.gov/Services/TRM/ToolPage.aspx?tid=10847^","PIPE-FLO Professional")</f>
        <v>PIPE-FLO Professional</v>
      </c>
      <c r="B6441" s="4" t="s">
        <v>2858</v>
      </c>
      <c r="C6441" s="8" t="s">
        <v>5</v>
      </c>
      <c r="D6441" s="11" t="s">
        <v>2859</v>
      </c>
    </row>
    <row r="6442" spans="1:4" ht="30">
      <c r="A6442" s="5" t="str">
        <f>HYPERLINK("https://www.oit.va.gov/Services/TRM/ToolPage.aspx?tid=9053^","Vantage Point")</f>
        <v>Vantage Point</v>
      </c>
      <c r="B6442" s="4" t="s">
        <v>2021</v>
      </c>
      <c r="C6442" s="8" t="s">
        <v>5</v>
      </c>
      <c r="D6442" s="11" t="s">
        <v>2022</v>
      </c>
    </row>
    <row r="6443" spans="1:4" ht="30">
      <c r="A6443" s="5" t="str">
        <f>HYPERLINK("https://www.oit.va.gov/Services/TRM/ToolPage.aspx?tid=10603^","Pipkins Agent Notification")</f>
        <v>Pipkins Agent Notification</v>
      </c>
      <c r="B6443" s="4" t="s">
        <v>2021</v>
      </c>
      <c r="C6443" s="8" t="s">
        <v>5</v>
      </c>
      <c r="D6443" s="11" t="s">
        <v>3455</v>
      </c>
    </row>
    <row r="6444" spans="1:4" ht="30">
      <c r="A6444" s="5" t="str">
        <f>HYPERLINK("https://www.oit.va.gov/Services/TRM/ToolPage.aspx?tid=10604^","Pipkins Report Viewer")</f>
        <v>Pipkins Report Viewer</v>
      </c>
      <c r="B6444" s="4" t="s">
        <v>2021</v>
      </c>
      <c r="C6444" s="8" t="s">
        <v>5</v>
      </c>
      <c r="D6444" s="11" t="s">
        <v>3455</v>
      </c>
    </row>
    <row r="6445" spans="1:4" ht="30">
      <c r="A6445" s="5" t="str">
        <f>HYPERLINK("https://www.oit.va.gov/Services/TRM/ToolPage.aspx?tid=5594^","CCleaner")</f>
        <v>CCleaner</v>
      </c>
      <c r="B6445" s="4" t="s">
        <v>7624</v>
      </c>
      <c r="C6445" s="8" t="s">
        <v>5</v>
      </c>
      <c r="D6445" s="11" t="s">
        <v>7165</v>
      </c>
    </row>
    <row r="6446" spans="1:4" ht="30">
      <c r="A6446" s="5" t="str">
        <f>HYPERLINK("https://www.oit.va.gov/Services/TRM/ToolPage.aspx?tid=14268^","SendSuite Tracking Assistant (TA Plus)")</f>
        <v>SendSuite Tracking Assistant (TA Plus)</v>
      </c>
      <c r="B6446" s="4" t="s">
        <v>325</v>
      </c>
      <c r="C6446" s="8" t="s">
        <v>5</v>
      </c>
      <c r="D6446" s="11" t="s">
        <v>326</v>
      </c>
    </row>
    <row r="6447" spans="1:4" ht="30">
      <c r="A6447" s="5" t="str">
        <f>HYPERLINK("https://www.oit.va.gov/Services/TRM/ToolPage.aspx?tid=15297^","Pitney Bowes DeviceHub")</f>
        <v>Pitney Bowes DeviceHub</v>
      </c>
      <c r="B6447" s="4" t="s">
        <v>325</v>
      </c>
      <c r="C6447" s="8" t="s">
        <v>5</v>
      </c>
      <c r="D6447" s="11" t="s">
        <v>809</v>
      </c>
    </row>
    <row r="6448" spans="1:4" ht="30">
      <c r="A6448" s="5" t="str">
        <f>HYPERLINK("https://www.oit.va.gov/Services/TRM/ToolPage.aspx?tid=10325^","Personal Computer (PC) Meter Connect")</f>
        <v>Personal Computer (PC) Meter Connect</v>
      </c>
      <c r="B6448" s="4" t="s">
        <v>325</v>
      </c>
      <c r="C6448" s="8" t="s">
        <v>5</v>
      </c>
      <c r="D6448" s="11" t="s">
        <v>2849</v>
      </c>
    </row>
    <row r="6449" spans="1:4" ht="30">
      <c r="A6449" s="5" t="str">
        <f>HYPERLINK("https://www.oit.va.gov/Services/TRM/ToolPage.aspx?tid=11526^","PlanetPress")</f>
        <v>PlanetPress</v>
      </c>
      <c r="B6449" s="4" t="s">
        <v>325</v>
      </c>
      <c r="C6449" s="8" t="s">
        <v>5</v>
      </c>
      <c r="D6449" s="11" t="s">
        <v>2861</v>
      </c>
    </row>
    <row r="6450" spans="1:4" ht="30">
      <c r="A6450" s="5" t="str">
        <f>HYPERLINK("https://www.oit.va.gov/Services/TRM/ToolPage.aspx?tid=8499^","Sendsuite Tracking")</f>
        <v>Sendsuite Tracking</v>
      </c>
      <c r="B6450" s="4" t="s">
        <v>325</v>
      </c>
      <c r="C6450" s="8" t="s">
        <v>5</v>
      </c>
      <c r="D6450" s="11" t="s">
        <v>1077</v>
      </c>
    </row>
    <row r="6451" spans="1:4" ht="30">
      <c r="A6451" s="5" t="str">
        <f>HYPERLINK("https://www.oit.va.gov/Services/TRM/ToolPage.aspx?tid=9344^","SendSuite Live")</f>
        <v>SendSuite Live</v>
      </c>
      <c r="B6451" s="4" t="s">
        <v>325</v>
      </c>
      <c r="C6451" s="8" t="s">
        <v>5</v>
      </c>
      <c r="D6451" s="11" t="s">
        <v>1128</v>
      </c>
    </row>
    <row r="6452" spans="1:4" ht="30">
      <c r="A6452" s="5" t="str">
        <f>HYPERLINK("https://www.oit.va.gov/Services/TRM/ToolPage.aspx?tid=8606^","ConnectRight Mailer")</f>
        <v>ConnectRight Mailer</v>
      </c>
      <c r="B6452" s="4" t="s">
        <v>325</v>
      </c>
      <c r="C6452" s="8" t="s">
        <v>5</v>
      </c>
      <c r="D6452" s="11" t="s">
        <v>1538</v>
      </c>
    </row>
    <row r="6453" spans="1:4" ht="30">
      <c r="A6453" s="5" t="str">
        <f>HYPERLINK("https://www.oit.va.gov/Services/TRM/ToolPage.aspx?tid=9342^","Pitney Bowes File Importing Reformatting Sorting Tool (PB FIRST)")</f>
        <v>Pitney Bowes File Importing Reformatting Sorting Tool (PB FIRST)</v>
      </c>
      <c r="B6453" s="4" t="s">
        <v>325</v>
      </c>
      <c r="C6453" s="8" t="s">
        <v>5</v>
      </c>
      <c r="D6453" s="11" t="s">
        <v>5978</v>
      </c>
    </row>
    <row r="6454" spans="1:4" ht="30">
      <c r="A6454" s="5" t="str">
        <f>HYPERLINK("https://www.oit.va.gov/Services/TRM/ToolPage.aspx?tid=11548^","ShipRequest")</f>
        <v>ShipRequest</v>
      </c>
      <c r="B6454" s="4" t="s">
        <v>325</v>
      </c>
      <c r="C6454" s="8" t="s">
        <v>5</v>
      </c>
      <c r="D6454" s="11" t="s">
        <v>6617</v>
      </c>
    </row>
    <row r="6455" spans="1:4" ht="30">
      <c r="A6455" s="5" t="str">
        <f>HYPERLINK("https://www.oit.va.gov/Services/TRM/ToolPage.aspx?tid=16272^","win-vind")</f>
        <v>win-vind</v>
      </c>
      <c r="B6455" s="4" t="s">
        <v>7333</v>
      </c>
      <c r="C6455" s="8" t="s">
        <v>5</v>
      </c>
      <c r="D6455" s="11" t="s">
        <v>1737</v>
      </c>
    </row>
    <row r="6456" spans="1:4" ht="30">
      <c r="A6456" s="5" t="str">
        <f>HYPERLINK("https://www.oit.va.gov/Services/TRM/ToolPage.aspx?tid=7007^","Spring.NET")</f>
        <v>Spring.NET</v>
      </c>
      <c r="B6456" s="4" t="s">
        <v>15</v>
      </c>
      <c r="C6456" s="8" t="s">
        <v>5</v>
      </c>
      <c r="D6456" s="11" t="s">
        <v>16</v>
      </c>
    </row>
    <row r="6457" spans="1:4" ht="30">
      <c r="A6457" s="5" t="str">
        <f>HYPERLINK("https://www.oit.va.gov/Services/TRM/ToolPage.aspx?tid=12^","Spring Framework")</f>
        <v>Spring Framework</v>
      </c>
      <c r="B6457" s="4" t="s">
        <v>15</v>
      </c>
      <c r="C6457" s="8" t="s">
        <v>5</v>
      </c>
      <c r="D6457" s="11" t="s">
        <v>141</v>
      </c>
    </row>
    <row r="6458" spans="1:4" ht="30">
      <c r="A6458" s="5" t="str">
        <f>HYPERLINK("https://www.oit.va.gov/Services/TRM/ToolPage.aspx?tid=6295^","Spring Web Flow")</f>
        <v>Spring Web Flow</v>
      </c>
      <c r="B6458" s="4" t="s">
        <v>15</v>
      </c>
      <c r="C6458" s="8" t="s">
        <v>5</v>
      </c>
      <c r="D6458" s="11" t="s">
        <v>4841</v>
      </c>
    </row>
    <row r="6459" spans="1:4" ht="30">
      <c r="A6459" s="5" t="str">
        <f>HYPERLINK("https://www.oit.va.gov/Services/TRM/ToolPage.aspx?tid=6292^","Spring BeanDoc")</f>
        <v>Spring BeanDoc</v>
      </c>
      <c r="B6459" s="4" t="s">
        <v>15</v>
      </c>
      <c r="C6459" s="8" t="s">
        <v>5</v>
      </c>
      <c r="D6459" s="11" t="s">
        <v>8713</v>
      </c>
    </row>
    <row r="6460" spans="1:4" ht="30">
      <c r="A6460" s="5" t="str">
        <f>HYPERLINK("https://www.oit.va.gov/Services/TRM/ToolPage.aspx?tid=6293^","Spring JavaScript (Spring-JS)")</f>
        <v>Spring JavaScript (Spring-JS)</v>
      </c>
      <c r="B6460" s="4" t="s">
        <v>15</v>
      </c>
      <c r="C6460" s="8" t="s">
        <v>5</v>
      </c>
      <c r="D6460" s="11" t="s">
        <v>6314</v>
      </c>
    </row>
    <row r="6461" spans="1:4" ht="30">
      <c r="A6461" s="5" t="str">
        <f>HYPERLINK("https://www.oit.va.gov/Services/TRM/ToolPage.aspx?tid=8062^","Jasmine")</f>
        <v>Jasmine</v>
      </c>
      <c r="B6461" s="4" t="s">
        <v>724</v>
      </c>
      <c r="C6461" s="8" t="s">
        <v>5</v>
      </c>
      <c r="D6461" s="11" t="s">
        <v>101</v>
      </c>
    </row>
    <row r="6462" spans="1:4" ht="30">
      <c r="A6462" s="5" t="str">
        <f>HYPERLINK("https://www.oit.va.gov/Services/TRM/ToolPage.aspx?tid=9204^","DicomCleaner")</f>
        <v>DicomCleaner</v>
      </c>
      <c r="B6462" s="4" t="s">
        <v>6507</v>
      </c>
      <c r="C6462" s="8" t="s">
        <v>5</v>
      </c>
      <c r="D6462" s="11" t="s">
        <v>6508</v>
      </c>
    </row>
    <row r="6463" spans="1:4" ht="30">
      <c r="A6463" s="5" t="str">
        <f>HYPERLINK("https://www.oit.va.gov/Services/TRM/ToolPage.aspx?tid=14543^","OsiriX")</f>
        <v>OsiriX</v>
      </c>
      <c r="B6463" s="4" t="s">
        <v>5986</v>
      </c>
      <c r="C6463" s="8" t="s">
        <v>5</v>
      </c>
      <c r="D6463" s="11" t="s">
        <v>5987</v>
      </c>
    </row>
    <row r="6464" spans="1:4" ht="30">
      <c r="A6464" s="5" t="str">
        <f>HYPERLINK("https://www.oit.va.gov/Services/TRM/ToolPage.aspx?tid=5690^","PKZIP")</f>
        <v>PKZIP</v>
      </c>
      <c r="B6464" s="4" t="s">
        <v>4609</v>
      </c>
      <c r="C6464" s="8" t="s">
        <v>5</v>
      </c>
      <c r="D6464" s="11" t="s">
        <v>719</v>
      </c>
    </row>
    <row r="6465" spans="1:4" ht="30">
      <c r="A6465" s="5" t="str">
        <f>HYPERLINK("https://www.oit.va.gov/Services/TRM/ToolPage.aspx?tid=10785^","Zip Reader")</f>
        <v>Zip Reader</v>
      </c>
      <c r="B6465" s="4" t="s">
        <v>4609</v>
      </c>
      <c r="C6465" s="8" t="s">
        <v>5</v>
      </c>
      <c r="D6465" s="11" t="s">
        <v>8983</v>
      </c>
    </row>
    <row r="6466" spans="1:4" ht="30">
      <c r="A6466" s="5" t="str">
        <f>HYPERLINK("https://www.oit.va.gov/Services/TRM/ToolPage.aspx?tid=9586^","PlanGrid")</f>
        <v>PlanGrid</v>
      </c>
      <c r="B6466" s="4" t="s">
        <v>7006</v>
      </c>
      <c r="C6466" s="8" t="s">
        <v>5</v>
      </c>
      <c r="D6466" s="11" t="s">
        <v>7007</v>
      </c>
    </row>
    <row r="6467" spans="1:4" ht="30">
      <c r="A6467" s="5" t="str">
        <f>HYPERLINK("https://www.oit.va.gov/Services/TRM/ToolPage.aspx?tid=6125^","Planmeca Romexis")</f>
        <v>Planmeca Romexis</v>
      </c>
      <c r="B6467" s="4" t="s">
        <v>2862</v>
      </c>
      <c r="C6467" s="8" t="s">
        <v>5</v>
      </c>
      <c r="D6467" s="11" t="s">
        <v>806</v>
      </c>
    </row>
    <row r="6468" spans="1:4" ht="30">
      <c r="A6468" s="5" t="str">
        <f>HYPERLINK("https://www.oit.va.gov/Services/TRM/ToolPage.aspx?tid=16248^","Didapi")</f>
        <v>Didapi</v>
      </c>
      <c r="B6468" s="4" t="s">
        <v>2862</v>
      </c>
      <c r="C6468" s="8" t="s">
        <v>5</v>
      </c>
      <c r="D6468" s="11" t="s">
        <v>1506</v>
      </c>
    </row>
    <row r="6469" spans="1:4" ht="30">
      <c r="A6469" s="5" t="str">
        <f>HYPERLINK("https://www.oit.va.gov/Services/TRM/ToolPage.aspx?tid=11652^","Forms Wizard")</f>
        <v>Forms Wizard</v>
      </c>
      <c r="B6469" s="4" t="s">
        <v>7941</v>
      </c>
      <c r="C6469" s="8" t="s">
        <v>5</v>
      </c>
      <c r="D6469" s="11" t="s">
        <v>3349</v>
      </c>
    </row>
    <row r="6470" spans="1:4" ht="30">
      <c r="A6470" s="5" t="str">
        <f>HYPERLINK("https://www.oit.va.gov/Services/TRM/ToolPage.aspx?tid=11759^","PlantUML")</f>
        <v>PlantUML</v>
      </c>
      <c r="B6470" s="4" t="s">
        <v>4611</v>
      </c>
      <c r="C6470" s="8" t="s">
        <v>5</v>
      </c>
      <c r="D6470" s="11" t="s">
        <v>4612</v>
      </c>
    </row>
    <row r="6471" spans="1:4" ht="30">
      <c r="A6471" s="5" t="str">
        <f>HYPERLINK("https://www.oit.va.gov/Services/TRM/ToolPage.aspx?tid=13289^","Planview Portfolios")</f>
        <v>Planview Portfolios</v>
      </c>
      <c r="B6471" s="4" t="s">
        <v>6001</v>
      </c>
      <c r="C6471" s="8" t="s">
        <v>5</v>
      </c>
      <c r="D6471" s="11" t="s">
        <v>6002</v>
      </c>
    </row>
    <row r="6472" spans="1:4" ht="30">
      <c r="A6472" s="5" t="str">
        <f>HYPERLINK("https://www.oit.va.gov/Services/TRM/ToolPage.aspx?tid=14540^","Microsoft Project Add-In")</f>
        <v>Microsoft Project Add-In</v>
      </c>
      <c r="B6472" s="4" t="s">
        <v>6001</v>
      </c>
      <c r="C6472" s="8" t="s">
        <v>5</v>
      </c>
      <c r="D6472" s="11" t="s">
        <v>1962</v>
      </c>
    </row>
    <row r="6473" spans="1:4" ht="30">
      <c r="A6473" s="5" t="str">
        <f>HYPERLINK("https://www.oit.va.gov/Services/TRM/ToolPage.aspx?tid=13028^","Planview Tasktop Hub")</f>
        <v>Planview Tasktop Hub</v>
      </c>
      <c r="B6473" s="4" t="s">
        <v>448</v>
      </c>
      <c r="C6473" s="8" t="s">
        <v>5</v>
      </c>
      <c r="D6473" s="11" t="s">
        <v>449</v>
      </c>
    </row>
    <row r="6474" spans="1:4" ht="30">
      <c r="A6474" s="5" t="str">
        <f>HYPERLINK("https://www.oit.va.gov/Services/TRM/ToolPage.aspx?tid=11144^","ARES Viewer")</f>
        <v>ARES Viewer</v>
      </c>
      <c r="B6474" s="4" t="s">
        <v>7478</v>
      </c>
      <c r="C6474" s="8" t="s">
        <v>5</v>
      </c>
      <c r="D6474" s="11" t="s">
        <v>1215</v>
      </c>
    </row>
    <row r="6475" spans="1:4" ht="30">
      <c r="A6475" s="5" t="str">
        <f>HYPERLINK("https://www.oit.va.gov/Services/TRM/ToolPage.aspx?tid=15151^","Duplicate Check")</f>
        <v>Duplicate Check</v>
      </c>
      <c r="B6475" s="4" t="s">
        <v>4048</v>
      </c>
      <c r="C6475" s="8" t="s">
        <v>5</v>
      </c>
      <c r="D6475" s="11" t="s">
        <v>4049</v>
      </c>
    </row>
    <row r="6476" spans="1:4" ht="30">
      <c r="A6476" s="5" t="str">
        <f>HYPERLINK("https://www.oit.va.gov/Services/TRM/ToolPage.aspx?tid=9010^","GenMerge Database (DB)")</f>
        <v>GenMerge Database (DB)</v>
      </c>
      <c r="B6476" s="4" t="s">
        <v>1166</v>
      </c>
      <c r="C6476" s="8" t="s">
        <v>5</v>
      </c>
      <c r="D6476" s="11" t="s">
        <v>1167</v>
      </c>
    </row>
    <row r="6477" spans="1:4" ht="30">
      <c r="A6477" s="5" t="str">
        <f>HYPERLINK("https://www.oit.va.gov/Services/TRM/ToolPage.aspx?tid=15220^","KuandoHub")</f>
        <v>KuandoHub</v>
      </c>
      <c r="B6477" s="4" t="s">
        <v>4335</v>
      </c>
      <c r="C6477" s="8" t="s">
        <v>5</v>
      </c>
      <c r="D6477" s="11" t="s">
        <v>1695</v>
      </c>
    </row>
    <row r="6478" spans="1:4" ht="30">
      <c r="A6478" s="5" t="str">
        <f>HYPERLINK("https://www.oit.va.gov/Services/TRM/ToolPage.aspx?tid=12959^","Kuando Busylight")</f>
        <v>Kuando Busylight</v>
      </c>
      <c r="B6478" s="4" t="s">
        <v>4335</v>
      </c>
      <c r="C6478" s="8" t="s">
        <v>5</v>
      </c>
      <c r="D6478" s="11" t="s">
        <v>4567</v>
      </c>
    </row>
    <row r="6479" spans="1:4" ht="30">
      <c r="A6479" s="5" t="str">
        <f>HYPERLINK("https://www.oit.va.gov/Services/TRM/ToolPage.aspx?tid=6936^","Plexis Alerts")</f>
        <v>Plexis Alerts</v>
      </c>
      <c r="B6479" s="4" t="s">
        <v>6003</v>
      </c>
      <c r="C6479" s="8" t="s">
        <v>5</v>
      </c>
      <c r="D6479" s="11" t="s">
        <v>1913</v>
      </c>
    </row>
    <row r="6480" spans="1:4" ht="30">
      <c r="A6480" s="5" t="str">
        <f>HYPERLINK("https://www.oit.va.gov/Services/TRM/ToolPage.aspx?tid=7139^","Plexis Claims Manager")</f>
        <v>Plexis Claims Manager</v>
      </c>
      <c r="B6480" s="4" t="s">
        <v>6003</v>
      </c>
      <c r="C6480" s="8" t="s">
        <v>5</v>
      </c>
      <c r="D6480" s="11" t="s">
        <v>3753</v>
      </c>
    </row>
    <row r="6481" spans="1:4" ht="30">
      <c r="A6481" s="5" t="str">
        <f>HYPERLINK("https://www.oit.va.gov/Services/TRM/ToolPage.aspx?tid=6992^","Plexis EDIWorks")</f>
        <v>Plexis EDIWorks</v>
      </c>
      <c r="B6481" s="4" t="s">
        <v>6003</v>
      </c>
      <c r="C6481" s="8" t="s">
        <v>5</v>
      </c>
      <c r="D6481" s="11" t="s">
        <v>1913</v>
      </c>
    </row>
    <row r="6482" spans="1:4" ht="30">
      <c r="A6482" s="5" t="str">
        <f>HYPERLINK("https://www.oit.va.gov/Services/TRM/ToolPage.aspx?tid=7086^","Plexis Quantum Choice")</f>
        <v>Plexis Quantum Choice</v>
      </c>
      <c r="B6482" s="4" t="s">
        <v>6003</v>
      </c>
      <c r="C6482" s="8" t="s">
        <v>5</v>
      </c>
      <c r="D6482" s="11" t="s">
        <v>5345</v>
      </c>
    </row>
    <row r="6483" spans="1:4" ht="30">
      <c r="A6483" s="5" t="str">
        <f>HYPERLINK("https://www.oit.va.gov/Services/TRM/ToolPage.aspx?tid=8644^","Classworlds")</f>
        <v>Classworlds</v>
      </c>
      <c r="B6483" s="4" t="s">
        <v>6418</v>
      </c>
      <c r="C6483" s="8" t="s">
        <v>5</v>
      </c>
      <c r="D6483" s="11" t="s">
        <v>6419</v>
      </c>
    </row>
    <row r="6484" spans="1:4" ht="30">
      <c r="A6484" s="5" t="str">
        <f>HYPERLINK("https://www.oit.va.gov/Services/TRM/ToolPage.aspx?tid=14849^","Offline Player")</f>
        <v>Offline Player</v>
      </c>
      <c r="B6484" s="4" t="s">
        <v>8357</v>
      </c>
      <c r="C6484" s="8" t="s">
        <v>5</v>
      </c>
      <c r="D6484" s="11" t="s">
        <v>2553</v>
      </c>
    </row>
    <row r="6485" spans="1:4" ht="30">
      <c r="A6485" s="5" t="str">
        <f>HYPERLINK("https://www.oit.va.gov/Services/TRM/ToolPage.aspx?tid=16748^","AccuLabel")</f>
        <v>AccuLabel</v>
      </c>
      <c r="B6485" s="4" t="s">
        <v>1267</v>
      </c>
      <c r="C6485" s="8" t="s">
        <v>5</v>
      </c>
      <c r="D6485" s="11" t="s">
        <v>1268</v>
      </c>
    </row>
    <row r="6486" spans="1:4" ht="30">
      <c r="A6486" s="5" t="str">
        <f>HYPERLINK("https://www.oit.va.gov/Services/TRM/ToolPage.aspx?tid=6993^","PMD")</f>
        <v>PMD</v>
      </c>
      <c r="B6486" s="4" t="s">
        <v>810</v>
      </c>
      <c r="C6486" s="8" t="s">
        <v>5</v>
      </c>
      <c r="D6486" s="11" t="s">
        <v>811</v>
      </c>
    </row>
    <row r="6487" spans="1:4" ht="30">
      <c r="A6487" s="5" t="str">
        <f>HYPERLINK("https://www.oit.va.gov/Services/TRM/ToolPage.aspx?tid=7297^","QuickBuild")</f>
        <v>QuickBuild</v>
      </c>
      <c r="B6487" s="4" t="s">
        <v>4695</v>
      </c>
      <c r="C6487" s="8" t="s">
        <v>5</v>
      </c>
      <c r="D6487" s="11" t="s">
        <v>4696</v>
      </c>
    </row>
    <row r="6488" spans="1:4" ht="30">
      <c r="A6488" s="5" t="str">
        <f>HYPERLINK("https://www.oit.va.gov/Services/TRM/ToolPage.aspx?tid=10057^","TMSComm")</f>
        <v>TMSComm</v>
      </c>
      <c r="B6488" s="4" t="s">
        <v>268</v>
      </c>
      <c r="C6488" s="8" t="s">
        <v>5</v>
      </c>
      <c r="D6488" s="11" t="s">
        <v>269</v>
      </c>
    </row>
    <row r="6489" spans="1:4" ht="30">
      <c r="A6489" s="5" t="str">
        <f>HYPERLINK("https://www.oit.va.gov/Services/TRM/ToolPage.aspx?tid=14897^","PODMAN")</f>
        <v>PODMAN</v>
      </c>
      <c r="B6489" s="4" t="s">
        <v>4614</v>
      </c>
      <c r="C6489" s="8" t="s">
        <v>5</v>
      </c>
      <c r="D6489" s="11" t="s">
        <v>3319</v>
      </c>
    </row>
    <row r="6490" spans="1:4" ht="30">
      <c r="A6490" s="5" t="str">
        <f>HYPERLINK("https://www.oit.va.gov/Services/TRM/ToolPage.aspx?tid=13900^","PointAudit")</f>
        <v>PointAudit</v>
      </c>
      <c r="B6490" s="4" t="s">
        <v>8443</v>
      </c>
      <c r="C6490" s="8" t="s">
        <v>5</v>
      </c>
      <c r="D6490" s="11" t="s">
        <v>7073</v>
      </c>
    </row>
    <row r="6491" spans="1:4" ht="30">
      <c r="A6491" s="5" t="str">
        <f>HYPERLINK("https://www.oit.va.gov/Services/TRM/ToolPage.aspx?tid=8135^","WebSync")</f>
        <v>WebSync</v>
      </c>
      <c r="B6491" s="4" t="s">
        <v>8919</v>
      </c>
      <c r="C6491" s="8" t="s">
        <v>5</v>
      </c>
      <c r="D6491" s="11" t="s">
        <v>5579</v>
      </c>
    </row>
    <row r="6492" spans="1:4" ht="30">
      <c r="A6492" s="5" t="str">
        <f>HYPERLINK("https://www.oit.va.gov/Services/TRM/ToolPage.aspx?tid=15240^","fMRIPrep")</f>
        <v>fMRIPrep</v>
      </c>
      <c r="B6492" s="4" t="s">
        <v>6623</v>
      </c>
      <c r="C6492" s="8" t="s">
        <v>5</v>
      </c>
      <c r="D6492" s="11" t="s">
        <v>6624</v>
      </c>
    </row>
    <row r="6493" spans="1:4" ht="30">
      <c r="A6493" s="5" t="str">
        <f>HYPERLINK("https://www.oit.va.gov/Services/TRM/ToolPage.aspx?tid=8299^","PollEv Presenter App for Powerpoint")</f>
        <v>PollEv Presenter App for Powerpoint</v>
      </c>
      <c r="B6493" s="4" t="s">
        <v>2865</v>
      </c>
      <c r="C6493" s="8" t="s">
        <v>5</v>
      </c>
      <c r="D6493" s="11" t="s">
        <v>280</v>
      </c>
    </row>
    <row r="6494" spans="1:4" ht="30">
      <c r="A6494" s="5" t="str">
        <f>HYPERLINK("https://www.oit.va.gov/Services/TRM/ToolPage.aspx?tid=8979^","Poll Everywhere Enterprise for Windows")</f>
        <v>Poll Everywhere Enterprise for Windows</v>
      </c>
      <c r="B6494" s="4" t="s">
        <v>2865</v>
      </c>
      <c r="C6494" s="8" t="s">
        <v>5</v>
      </c>
      <c r="D6494" s="11" t="s">
        <v>8445</v>
      </c>
    </row>
    <row r="6495" spans="1:4" ht="30">
      <c r="A6495" s="5" t="str">
        <f>HYPERLINK("https://www.oit.va.gov/Services/TRM/ToolPage.aspx?tid=6100^","Plantronics Hub")</f>
        <v>Plantronics Hub</v>
      </c>
      <c r="B6495" s="4" t="s">
        <v>1843</v>
      </c>
      <c r="C6495" s="8" t="s">
        <v>5</v>
      </c>
      <c r="D6495" s="11" t="s">
        <v>1844</v>
      </c>
    </row>
    <row r="6496" spans="1:4" ht="30">
      <c r="A6496" s="5" t="str">
        <f>HYPERLINK("https://www.oit.va.gov/Services/TRM/ToolPage.aspx?tid=16008^","Poly Lens Desktop App")</f>
        <v>Poly Lens Desktop App</v>
      </c>
      <c r="B6496" s="4" t="s">
        <v>1843</v>
      </c>
      <c r="C6496" s="8" t="s">
        <v>5</v>
      </c>
      <c r="D6496" s="11" t="s">
        <v>3455</v>
      </c>
    </row>
    <row r="6497" spans="1:4" ht="30">
      <c r="A6497" s="5" t="str">
        <f>HYPERLINK("https://www.oit.va.gov/Services/TRM/ToolPage.aspx?tid=5691^","Polycom RealPresence Desktop")</f>
        <v>Polycom RealPresence Desktop</v>
      </c>
      <c r="B6497" s="4" t="s">
        <v>8446</v>
      </c>
      <c r="C6497" s="8" t="s">
        <v>5</v>
      </c>
      <c r="D6497" s="11" t="s">
        <v>5434</v>
      </c>
    </row>
    <row r="6498" spans="1:4" ht="30">
      <c r="A6498" s="5" t="str">
        <f>HYPERLINK("https://www.oit.va.gov/Services/TRM/ToolPage.aspx?tid=13689^","Popcorn Time")</f>
        <v>Popcorn Time</v>
      </c>
      <c r="B6498" s="4" t="s">
        <v>8447</v>
      </c>
      <c r="C6498" s="8" t="s">
        <v>5</v>
      </c>
      <c r="D6498" s="11" t="s">
        <v>7638</v>
      </c>
    </row>
    <row r="6499" spans="1:4" ht="30">
      <c r="A6499" s="5" t="str">
        <f>HYPERLINK("https://www.oit.va.gov/Services/TRM/ToolPage.aspx?tid=13716^","PortableApps")</f>
        <v>PortableApps</v>
      </c>
      <c r="B6499" s="4" t="s">
        <v>8454</v>
      </c>
      <c r="C6499" s="8" t="s">
        <v>5</v>
      </c>
      <c r="D6499" s="11" t="s">
        <v>8455</v>
      </c>
    </row>
    <row r="6500" spans="1:4" ht="30">
      <c r="A6500" s="5" t="str">
        <f>HYPERLINK("https://www.oit.va.gov/Services/TRM/ToolPage.aspx?tid=6656^","RStudio")</f>
        <v>RStudio</v>
      </c>
      <c r="B6500" s="4" t="s">
        <v>1901</v>
      </c>
      <c r="C6500" s="8" t="s">
        <v>5</v>
      </c>
      <c r="D6500" s="11" t="s">
        <v>1496</v>
      </c>
    </row>
    <row r="6501" spans="1:4" ht="30">
      <c r="A6501" s="5" t="str">
        <f>HYPERLINK("https://www.oit.va.gov/Services/TRM/ToolPage.aspx?tid=12858^","Shiny Server")</f>
        <v>Shiny Server</v>
      </c>
      <c r="B6501" s="4" t="s">
        <v>1901</v>
      </c>
      <c r="C6501" s="8" t="s">
        <v>5</v>
      </c>
      <c r="D6501" s="11" t="s">
        <v>4784</v>
      </c>
    </row>
    <row r="6502" spans="1:4" ht="30">
      <c r="A6502" s="5" t="str">
        <f>HYPERLINK("https://www.oit.va.gov/Services/TRM/ToolPage.aspx?tid=10817^","Postman Chrome Plug-in")</f>
        <v>Postman Chrome Plug-in</v>
      </c>
      <c r="B6502" s="4" t="s">
        <v>2296</v>
      </c>
      <c r="C6502" s="8" t="s">
        <v>5</v>
      </c>
      <c r="D6502" s="11" t="s">
        <v>2114</v>
      </c>
    </row>
    <row r="6503" spans="1:4" ht="30">
      <c r="A6503" s="5" t="str">
        <f>HYPERLINK("https://www.oit.va.gov/Services/TRM/ToolPage.aspx?tid=5692^","PostgreSQL")</f>
        <v>PostgreSQL</v>
      </c>
      <c r="B6503" s="4" t="s">
        <v>812</v>
      </c>
      <c r="C6503" s="8" t="s">
        <v>5</v>
      </c>
      <c r="D6503" s="11" t="s">
        <v>813</v>
      </c>
    </row>
    <row r="6504" spans="1:4" ht="30">
      <c r="A6504" s="5" t="str">
        <f>HYPERLINK("https://www.oit.va.gov/Services/TRM/ToolPage.aspx?tid=12853^","Postman")</f>
        <v>Postman</v>
      </c>
      <c r="B6504" s="4" t="s">
        <v>247</v>
      </c>
      <c r="C6504" s="8" t="s">
        <v>5</v>
      </c>
      <c r="D6504" s="11" t="s">
        <v>248</v>
      </c>
    </row>
    <row r="6505" spans="1:4" ht="30">
      <c r="A6505" s="5" t="str">
        <f>HYPERLINK("https://www.oit.va.gov/Services/TRM/ToolPage.aspx?tid=12852^","Newman")</f>
        <v>Newman</v>
      </c>
      <c r="B6505" s="4" t="s">
        <v>247</v>
      </c>
      <c r="C6505" s="8" t="s">
        <v>5</v>
      </c>
      <c r="D6505" s="11" t="s">
        <v>1184</v>
      </c>
    </row>
    <row r="6506" spans="1:4" ht="30">
      <c r="A6506" s="5" t="str">
        <f>HYPERLINK("https://www.oit.va.gov/Services/TRM/ToolPage.aspx?tid=13167^","PostSharp")</f>
        <v>PostSharp</v>
      </c>
      <c r="B6506" s="4" t="s">
        <v>8462</v>
      </c>
      <c r="C6506" s="8" t="s">
        <v>5</v>
      </c>
      <c r="D6506" s="11" t="s">
        <v>6480</v>
      </c>
    </row>
    <row r="6507" spans="1:4" ht="30">
      <c r="A6507" s="5" t="str">
        <f>HYPERLINK("https://www.oit.va.gov/Services/TRM/ToolPage.aspx?tid=13942^","Chartnado")</f>
        <v>Chartnado</v>
      </c>
      <c r="B6507" s="4" t="s">
        <v>3206</v>
      </c>
      <c r="C6507" s="8" t="s">
        <v>5</v>
      </c>
      <c r="D6507" s="11" t="s">
        <v>3207</v>
      </c>
    </row>
    <row r="6508" spans="1:4" ht="30">
      <c r="A6508" s="5" t="str">
        <f>HYPERLINK("https://www.oit.va.gov/Services/TRM/ToolPage.aspx?tid=10777^","PowerISO")</f>
        <v>PowerISO</v>
      </c>
      <c r="B6508" s="4" t="s">
        <v>3461</v>
      </c>
      <c r="C6508" s="8" t="s">
        <v>5</v>
      </c>
      <c r="D6508" s="11" t="s">
        <v>3462</v>
      </c>
    </row>
    <row r="6509" spans="1:4" ht="30">
      <c r="A6509" s="5" t="str">
        <f>HYPERLINK("https://www.oit.va.gov/Services/TRM/ToolPage.aspx?tid=16717^","SortSite")</f>
        <v>SortSite</v>
      </c>
      <c r="B6509" s="4" t="s">
        <v>4828</v>
      </c>
      <c r="C6509" s="8" t="s">
        <v>5</v>
      </c>
      <c r="D6509" s="11" t="s">
        <v>4829</v>
      </c>
    </row>
    <row r="6510" spans="1:4" ht="30">
      <c r="A6510" s="5" t="str">
        <f>HYPERLINK("https://www.oit.va.gov/Services/TRM/ToolPage.aspx?tid=6995^","PowerMapper")</f>
        <v>PowerMapper</v>
      </c>
      <c r="B6510" s="4" t="s">
        <v>4828</v>
      </c>
      <c r="C6510" s="8" t="s">
        <v>5</v>
      </c>
      <c r="D6510" s="11" t="s">
        <v>2816</v>
      </c>
    </row>
    <row r="6511" spans="1:4" ht="30">
      <c r="A6511" s="5" t="str">
        <f>HYPERLINK("https://www.oit.va.gov/Services/TRM/ToolPage.aspx?tid=7679^","PowerMock")</f>
        <v>PowerMock</v>
      </c>
      <c r="B6511" s="4" t="s">
        <v>8464</v>
      </c>
      <c r="C6511" s="8" t="s">
        <v>5</v>
      </c>
      <c r="D6511" s="11" t="s">
        <v>8465</v>
      </c>
    </row>
    <row r="6512" spans="1:4" ht="30">
      <c r="A6512" s="5" t="str">
        <f>HYPERLINK("https://www.oit.va.gov/Services/TRM/ToolPage.aspx?tid=16761^","Powerops")</f>
        <v>Powerops</v>
      </c>
      <c r="B6512" s="4" t="s">
        <v>4636</v>
      </c>
      <c r="C6512" s="8" t="s">
        <v>5</v>
      </c>
      <c r="D6512" s="11" t="s">
        <v>1846</v>
      </c>
    </row>
    <row r="6513" spans="1:4" ht="30">
      <c r="A6513" s="5" t="str">
        <f>HYPERLINK("https://www.oit.va.gov/Services/TRM/ToolPage.aspx?tid=15720^","Structured Query Language (SQL) Server Powershell Module")</f>
        <v>Structured Query Language (SQL) Server Powershell Module</v>
      </c>
      <c r="B6513" s="4" t="s">
        <v>4869</v>
      </c>
      <c r="C6513" s="8" t="s">
        <v>5</v>
      </c>
      <c r="D6513" s="11" t="s">
        <v>1822</v>
      </c>
    </row>
    <row r="6514" spans="1:4" ht="30">
      <c r="A6514" s="5" t="str">
        <f>HYPERLINK("https://www.oit.va.gov/Services/TRM/ToolPage.aspx?tid=15721^","Posh Secure Shell (Posh-SSH) Powershell Module")</f>
        <v>Posh Secure Shell (Posh-SSH) Powershell Module</v>
      </c>
      <c r="B6514" s="4" t="s">
        <v>4869</v>
      </c>
      <c r="C6514" s="8" t="s">
        <v>5</v>
      </c>
      <c r="D6514" s="11" t="s">
        <v>8460</v>
      </c>
    </row>
    <row r="6515" spans="1:4" ht="30">
      <c r="A6515" s="5" t="str">
        <f>HYPERLINK("https://www.oit.va.gov/Services/TRM/ToolPage.aspx?tid=8921^","Mobile Power Manager View (MPMView) Software")</f>
        <v>Mobile Power Manager View (MPMView) Software</v>
      </c>
      <c r="B6515" s="4" t="s">
        <v>2778</v>
      </c>
      <c r="C6515" s="8" t="s">
        <v>5</v>
      </c>
      <c r="D6515" s="11" t="s">
        <v>2779</v>
      </c>
    </row>
    <row r="6516" spans="1:4" ht="30">
      <c r="A6516" s="5" t="str">
        <f>HYPERLINK("https://www.oit.va.gov/Services/TRM/ToolPage.aspx?tid=15012^","ProctorU Chrome Extension")</f>
        <v>ProctorU Chrome Extension</v>
      </c>
      <c r="B6516" s="4" t="s">
        <v>1202</v>
      </c>
      <c r="C6516" s="8" t="s">
        <v>5</v>
      </c>
      <c r="D6516" s="11" t="s">
        <v>1203</v>
      </c>
    </row>
    <row r="6517" spans="1:4" ht="30">
      <c r="A6517" s="5" t="str">
        <f>HYPERLINK("https://www.oit.va.gov/Services/TRM/ToolPage.aspx?tid=8600^","CODE-1 Plus Address Quality Solution")</f>
        <v>CODE-1 Plus Address Quality Solution</v>
      </c>
      <c r="B6517" s="4" t="s">
        <v>484</v>
      </c>
      <c r="C6517" s="8" t="s">
        <v>5</v>
      </c>
      <c r="D6517" s="11" t="s">
        <v>485</v>
      </c>
    </row>
    <row r="6518" spans="1:4" ht="30">
      <c r="A6518" s="5" t="str">
        <f>HYPERLINK("https://www.oit.va.gov/Services/TRM/ToolPage.aspx?tid=15517^","EngageOne Designer")</f>
        <v>EngageOne Designer</v>
      </c>
      <c r="B6518" s="4" t="s">
        <v>484</v>
      </c>
      <c r="C6518" s="8" t="s">
        <v>5</v>
      </c>
      <c r="D6518" s="11" t="s">
        <v>677</v>
      </c>
    </row>
    <row r="6519" spans="1:4" ht="30">
      <c r="A6519" s="5" t="str">
        <f>HYPERLINK("https://www.oit.va.gov/Services/TRM/ToolPage.aspx?tid=9870^","Spectrum Technology Platform")</f>
        <v>Spectrum Technology Platform</v>
      </c>
      <c r="B6519" s="4" t="s">
        <v>484</v>
      </c>
      <c r="C6519" s="8" t="s">
        <v>5</v>
      </c>
      <c r="D6519" s="11" t="s">
        <v>1951</v>
      </c>
    </row>
    <row r="6520" spans="1:4" ht="30">
      <c r="A6520" s="5" t="str">
        <f>HYPERLINK("https://www.oit.va.gov/Services/TRM/ToolPage.aspx?tid=8452^","VeriMove")</f>
        <v>VeriMove</v>
      </c>
      <c r="B6520" s="4" t="s">
        <v>484</v>
      </c>
      <c r="C6520" s="8" t="s">
        <v>5</v>
      </c>
      <c r="D6520" s="11" t="s">
        <v>2047</v>
      </c>
    </row>
    <row r="6521" spans="1:4" ht="30">
      <c r="A6521" s="5" t="str">
        <f>HYPERLINK("https://www.oit.va.gov/Services/TRM/ToolPage.aspx?tid=8555^","MailStream Plus")</f>
        <v>MailStream Plus</v>
      </c>
      <c r="B6521" s="4" t="s">
        <v>484</v>
      </c>
      <c r="C6521" s="8" t="s">
        <v>5</v>
      </c>
      <c r="D6521" s="11" t="s">
        <v>2792</v>
      </c>
    </row>
    <row r="6522" spans="1:4" ht="30">
      <c r="A6522" s="5" t="str">
        <f>HYPERLINK("https://www.oit.va.gov/Services/TRM/ToolPage.aspx?tid=8559^","SyncSort MFX")</f>
        <v>SyncSort MFX</v>
      </c>
      <c r="B6522" s="4" t="s">
        <v>484</v>
      </c>
      <c r="C6522" s="8" t="s">
        <v>5</v>
      </c>
      <c r="D6522" s="11" t="s">
        <v>374</v>
      </c>
    </row>
    <row r="6523" spans="1:4" ht="30">
      <c r="A6523" s="5" t="str">
        <f>HYPERLINK("https://www.oit.va.gov/Services/TRM/ToolPage.aspx?tid=14599^","SyncSort ZPSaver")</f>
        <v>SyncSort ZPSaver</v>
      </c>
      <c r="B6523" s="4" t="s">
        <v>484</v>
      </c>
      <c r="C6523" s="8" t="s">
        <v>5</v>
      </c>
      <c r="D6523" s="11" t="s">
        <v>3570</v>
      </c>
    </row>
    <row r="6524" spans="1:4" ht="30">
      <c r="A6524" s="5" t="str">
        <f>HYPERLINK("https://www.oit.va.gov/Services/TRM/ToolPage.aspx?tid=8560^","SyncSort PROCSort")</f>
        <v>SyncSort PROCSort</v>
      </c>
      <c r="B6524" s="4" t="s">
        <v>484</v>
      </c>
      <c r="C6524" s="8" t="s">
        <v>5</v>
      </c>
      <c r="D6524" s="11" t="s">
        <v>7203</v>
      </c>
    </row>
    <row r="6525" spans="1:4" ht="30">
      <c r="A6525" s="5" t="str">
        <f>HYPERLINK("https://www.oit.va.gov/Services/TRM/ToolPage.aspx?tid=15948^","Pilot")</f>
        <v>Pilot</v>
      </c>
      <c r="B6525" s="4" t="s">
        <v>8434</v>
      </c>
      <c r="C6525" s="8" t="s">
        <v>5</v>
      </c>
      <c r="D6525" s="11" t="s">
        <v>8435</v>
      </c>
    </row>
    <row r="6526" spans="1:4" ht="30">
      <c r="A6526" s="5" t="str">
        <f>HYPERLINK("https://www.oit.va.gov/Services/TRM/ToolPage.aspx?tid=16019^","Staggered Spondaic Word (SSW) Test")</f>
        <v>Staggered Spondaic Word (SSW) Test</v>
      </c>
      <c r="B6526" s="4" t="s">
        <v>8721</v>
      </c>
      <c r="C6526" s="8" t="s">
        <v>5</v>
      </c>
      <c r="D6526" s="11" t="s">
        <v>4810</v>
      </c>
    </row>
    <row r="6527" spans="1:4" ht="30">
      <c r="A6527" s="5" t="str">
        <f>HYPERLINK("https://www.oit.va.gov/Services/TRM/ToolPage.aspx?tid=6608^","Precision Helper")</f>
        <v>Precision Helper</v>
      </c>
      <c r="B6527" s="4" t="s">
        <v>8471</v>
      </c>
      <c r="C6527" s="8" t="s">
        <v>5</v>
      </c>
      <c r="D6527" s="11" t="s">
        <v>8472</v>
      </c>
    </row>
    <row r="6528" spans="1:4" ht="30">
      <c r="A6528" s="5" t="str">
        <f>HYPERLINK("https://www.oit.va.gov/Services/TRM/ToolPage.aspx?tid=12889^","Beacon Designer")</f>
        <v>Beacon Designer</v>
      </c>
      <c r="B6528" s="4" t="s">
        <v>5677</v>
      </c>
      <c r="C6528" s="8" t="s">
        <v>5</v>
      </c>
      <c r="D6528" s="11" t="s">
        <v>5678</v>
      </c>
    </row>
    <row r="6529" spans="1:4" ht="30">
      <c r="A6529" s="5" t="str">
        <f>HYPERLINK("https://www.oit.va.gov/Services/TRM/ToolPage.aspx?tid=7917^","English Talking Dictionary")</f>
        <v>English Talking Dictionary</v>
      </c>
      <c r="B6529" s="4" t="s">
        <v>5174</v>
      </c>
      <c r="C6529" s="8" t="s">
        <v>5</v>
      </c>
      <c r="D6529" s="11" t="s">
        <v>2133</v>
      </c>
    </row>
    <row r="6530" spans="1:4" ht="30">
      <c r="A6530" s="5" t="str">
        <f>HYPERLINK("https://www.oit.va.gov/Services/TRM/ToolPage.aspx?tid=7896^","Portable Document Format (PDF) Equalizer")</f>
        <v>Portable Document Format (PDF) Equalizer</v>
      </c>
      <c r="B6530" s="4" t="s">
        <v>5174</v>
      </c>
      <c r="C6530" s="8" t="s">
        <v>5</v>
      </c>
      <c r="D6530" s="11" t="s">
        <v>8451</v>
      </c>
    </row>
    <row r="6531" spans="1:4" ht="30">
      <c r="A6531" s="5" t="str">
        <f>HYPERLINK("https://www.oit.va.gov/Services/TRM/ToolPage.aspx?tid=7891^","Scan and Read Pro")</f>
        <v>Scan and Read Pro</v>
      </c>
      <c r="B6531" s="4" t="s">
        <v>5174</v>
      </c>
      <c r="C6531" s="8" t="s">
        <v>5</v>
      </c>
      <c r="D6531" s="11" t="s">
        <v>5025</v>
      </c>
    </row>
    <row r="6532" spans="1:4" ht="30">
      <c r="A6532" s="5" t="str">
        <f>HYPERLINK("https://www.oit.va.gov/Services/TRM/ToolPage.aspx?tid=10551^","Navicat for Structured Query Language (SQL) Server")</f>
        <v>Navicat for Structured Query Language (SQL) Server</v>
      </c>
      <c r="B6532" s="4" t="s">
        <v>777</v>
      </c>
      <c r="C6532" s="8" t="s">
        <v>5</v>
      </c>
      <c r="D6532" s="11" t="s">
        <v>418</v>
      </c>
    </row>
    <row r="6533" spans="1:4" ht="30">
      <c r="A6533" s="5" t="str">
        <f>HYPERLINK("https://www.oit.va.gov/Services/TRM/ToolPage.aspx?tid=8663^","Presentation Pointer")</f>
        <v>Presentation Pointer</v>
      </c>
      <c r="B6533" s="4" t="s">
        <v>5439</v>
      </c>
      <c r="C6533" s="8" t="s">
        <v>5</v>
      </c>
      <c r="D6533" s="11" t="s">
        <v>2186</v>
      </c>
    </row>
    <row r="6534" spans="1:4" ht="30">
      <c r="A6534" s="5" t="str">
        <f>HYPERLINK("https://www.oit.va.gov/Services/TRM/ToolPage.aspx?tid=6133^","ShowPoint")</f>
        <v>ShowPoint</v>
      </c>
      <c r="B6534" s="4" t="s">
        <v>7140</v>
      </c>
      <c r="C6534" s="8" t="s">
        <v>5</v>
      </c>
      <c r="D6534" s="11" t="s">
        <v>7141</v>
      </c>
    </row>
    <row r="6535" spans="1:4" ht="30">
      <c r="A6535" s="5" t="str">
        <f>HYPERLINK("https://www.oit.va.gov/Services/TRM/ToolPage.aspx?tid=14559^","PresentationPoint PlanPoint")</f>
        <v>PresentationPoint PlanPoint</v>
      </c>
      <c r="B6535" s="4" t="s">
        <v>7140</v>
      </c>
      <c r="C6535" s="8" t="s">
        <v>5</v>
      </c>
      <c r="D6535" s="11" t="s">
        <v>4044</v>
      </c>
    </row>
    <row r="6536" spans="1:4" ht="30">
      <c r="A6536" s="5" t="str">
        <f>HYPERLINK("https://www.oit.va.gov/Services/TRM/ToolPage.aspx?tid=15942^","Preservica")</f>
        <v>Preservica</v>
      </c>
      <c r="B6536" s="4" t="s">
        <v>1857</v>
      </c>
      <c r="C6536" s="8" t="s">
        <v>5</v>
      </c>
      <c r="D6536" s="11" t="s">
        <v>1858</v>
      </c>
    </row>
    <row r="6537" spans="1:4" ht="30">
      <c r="A6537" s="5" t="str">
        <f>HYPERLINK("https://www.oit.va.gov/Services/TRM/ToolPage.aspx?tid=15095^","ExamDiff Pro")</f>
        <v>ExamDiff Pro</v>
      </c>
      <c r="B6537" s="4" t="s">
        <v>989</v>
      </c>
      <c r="C6537" s="8" t="s">
        <v>5</v>
      </c>
      <c r="D6537" s="11" t="s">
        <v>990</v>
      </c>
    </row>
    <row r="6538" spans="1:4" ht="30">
      <c r="A6538" s="5" t="str">
        <f>HYPERLINK("https://www.oit.va.gov/Services/TRM/ToolPage.aspx?tid=11190^","Prezi Next Desktop")</f>
        <v>Prezi Next Desktop</v>
      </c>
      <c r="B6538" s="4" t="s">
        <v>4644</v>
      </c>
      <c r="C6538" s="8" t="s">
        <v>5</v>
      </c>
      <c r="D6538" s="11" t="s">
        <v>3903</v>
      </c>
    </row>
    <row r="6539" spans="1:4" ht="30">
      <c r="A6539" s="5" t="str">
        <f>HYPERLINK("https://www.oit.va.gov/Services/TRM/ToolPage.aspx?tid=7296^","Prezi Classic Desktop")</f>
        <v>Prezi Classic Desktop</v>
      </c>
      <c r="B6539" s="4" t="s">
        <v>4644</v>
      </c>
      <c r="C6539" s="8" t="s">
        <v>5</v>
      </c>
      <c r="D6539" s="11" t="s">
        <v>5440</v>
      </c>
    </row>
    <row r="6540" spans="1:4" ht="30">
      <c r="A6540" s="5" t="str">
        <f>HYPERLINK("https://www.oit.va.gov/Services/TRM/ToolPage.aspx?tid=13857^","PTPublisher")</f>
        <v>PTPublisher</v>
      </c>
      <c r="B6540" s="4" t="s">
        <v>4669</v>
      </c>
      <c r="C6540" s="8" t="s">
        <v>5</v>
      </c>
      <c r="D6540" s="11" t="s">
        <v>4670</v>
      </c>
    </row>
    <row r="6541" spans="1:4" ht="30">
      <c r="A6541" s="5" t="str">
        <f>HYPERLINK("https://www.oit.va.gov/Services/TRM/ToolPage.aspx?tid=11566^","PrimeNG")</f>
        <v>PrimeNG</v>
      </c>
      <c r="B6541" s="4" t="s">
        <v>814</v>
      </c>
      <c r="C6541" s="8" t="s">
        <v>5</v>
      </c>
      <c r="D6541" s="11" t="s">
        <v>815</v>
      </c>
    </row>
    <row r="6542" spans="1:4" ht="30">
      <c r="A6542" s="5" t="str">
        <f>HYPERLINK("https://www.oit.va.gov/Services/TRM/ToolPage.aspx?tid=8230^","PrimeFaces")</f>
        <v>PrimeFaces</v>
      </c>
      <c r="B6542" s="4" t="s">
        <v>814</v>
      </c>
      <c r="C6542" s="8" t="s">
        <v>5</v>
      </c>
      <c r="D6542" s="11" t="s">
        <v>4647</v>
      </c>
    </row>
    <row r="6543" spans="1:4" ht="30">
      <c r="A6543" s="5" t="str">
        <f>HYPERLINK("https://www.oit.va.gov/Services/TRM/ToolPage.aspx?tid=8456^","Ultron")</f>
        <v>Ultron</v>
      </c>
      <c r="B6543" s="4" t="s">
        <v>8842</v>
      </c>
      <c r="C6543" s="8" t="s">
        <v>5</v>
      </c>
      <c r="D6543" s="11" t="s">
        <v>1119</v>
      </c>
    </row>
    <row r="6544" spans="1:4" ht="30">
      <c r="A6544" s="5" t="str">
        <f>HYPERLINK("https://www.oit.va.gov/Services/TRM/ToolPage.aspx?tid=8173^","ROI Print Manager")</f>
        <v>ROI Print Manager</v>
      </c>
      <c r="B6544" s="4" t="s">
        <v>5484</v>
      </c>
      <c r="C6544" s="8" t="s">
        <v>5</v>
      </c>
      <c r="D6544" s="11" t="s">
        <v>4556</v>
      </c>
    </row>
    <row r="6545" spans="1:4" ht="30">
      <c r="A6545" s="5" t="str">
        <f>HYPERLINK("https://www.oit.va.gov/Services/TRM/ToolPage.aspx?tid=14789^","PrinterLogic")</f>
        <v>PrinterLogic</v>
      </c>
      <c r="B6545" s="4" t="s">
        <v>4650</v>
      </c>
      <c r="C6545" s="8" t="s">
        <v>5</v>
      </c>
      <c r="D6545" s="11" t="s">
        <v>4651</v>
      </c>
    </row>
    <row r="6546" spans="1:4" ht="30">
      <c r="A6546" s="5" t="str">
        <f>HYPERLINK("https://www.oit.va.gov/Services/TRM/ToolPage.aspx?tid=10934^","PrintFleet Data Collection Agent")</f>
        <v>PrintFleet Data Collection Agent</v>
      </c>
      <c r="B6546" s="4" t="s">
        <v>8475</v>
      </c>
      <c r="C6546" s="8" t="s">
        <v>5</v>
      </c>
      <c r="D6546" s="11" t="s">
        <v>5097</v>
      </c>
    </row>
    <row r="6547" spans="1:4" ht="30">
      <c r="A6547" s="5" t="str">
        <f>HYPERLINK("https://www.oit.va.gov/Services/TRM/ToolPage.aspx?tid=13330^","Touch Assisted Command and Control System (TACCS)")</f>
        <v>Touch Assisted Command and Control System (TACCS)</v>
      </c>
      <c r="B6547" s="4" t="s">
        <v>4920</v>
      </c>
      <c r="C6547" s="8" t="s">
        <v>5</v>
      </c>
      <c r="D6547" s="11" t="s">
        <v>4921</v>
      </c>
    </row>
    <row r="6548" spans="1:4" ht="30">
      <c r="A6548" s="5" t="str">
        <f>HYPERLINK("https://www.oit.va.gov/Services/TRM/ToolPage.aspx?tid=15921^","Prisma Object Relational Mapper (ORM)")</f>
        <v>Prisma Object Relational Mapper (ORM)</v>
      </c>
      <c r="B6548" s="4" t="s">
        <v>1865</v>
      </c>
      <c r="C6548" s="8" t="s">
        <v>5</v>
      </c>
      <c r="D6548" s="11" t="s">
        <v>888</v>
      </c>
    </row>
    <row r="6549" spans="1:4" ht="30">
      <c r="A6549" s="5" t="str">
        <f>HYPERLINK("https://www.oit.va.gov/Services/TRM/ToolPage.aspx?tid=12814^","Prism Paging System")</f>
        <v>Prism Paging System</v>
      </c>
      <c r="B6549" s="4" t="s">
        <v>8479</v>
      </c>
      <c r="C6549" s="8" t="s">
        <v>5</v>
      </c>
      <c r="D6549" s="11" t="s">
        <v>1201</v>
      </c>
    </row>
    <row r="6550" spans="1:4" ht="30">
      <c r="A6550" s="5" t="str">
        <f>HYPERLINK("https://www.oit.va.gov/Services/TRM/ToolPage.aspx?tid=13128^","Office Routing Plus (ORP) Outlook Edition")</f>
        <v>Office Routing Plus (ORP) Outlook Edition</v>
      </c>
      <c r="B6550" s="4" t="s">
        <v>4530</v>
      </c>
      <c r="C6550" s="8" t="s">
        <v>5</v>
      </c>
      <c r="D6550" s="11" t="s">
        <v>1050</v>
      </c>
    </row>
    <row r="6551" spans="1:4" ht="30">
      <c r="A6551" s="5" t="str">
        <f>HYPERLINK("https://www.oit.va.gov/Services/TRM/ToolPage.aspx?tid=9227^","ProM")</f>
        <v>ProM</v>
      </c>
      <c r="B6551" s="4" t="s">
        <v>6011</v>
      </c>
      <c r="C6551" s="8" t="s">
        <v>5</v>
      </c>
      <c r="D6551" s="11" t="s">
        <v>1409</v>
      </c>
    </row>
    <row r="6552" spans="1:4" ht="30">
      <c r="A6552" s="5" t="str">
        <f>HYPERLINK("https://www.oit.va.gov/Services/TRM/ToolPage.aspx?tid=8462^","Tsung")</f>
        <v>Tsung</v>
      </c>
      <c r="B6552" s="4" t="s">
        <v>4937</v>
      </c>
      <c r="C6552" s="8" t="s">
        <v>5</v>
      </c>
      <c r="D6552" s="11" t="s">
        <v>4679</v>
      </c>
    </row>
    <row r="6553" spans="1:4" ht="30">
      <c r="A6553" s="5" t="str">
        <f>HYPERLINK("https://www.oit.va.gov/Services/TRM/ToolPage.aspx?tid=16870^","Procore Extract")</f>
        <v>Procore Extract</v>
      </c>
      <c r="B6553" s="4" t="s">
        <v>1081</v>
      </c>
      <c r="C6553" s="8" t="s">
        <v>5</v>
      </c>
      <c r="D6553" s="11" t="s">
        <v>1082</v>
      </c>
    </row>
    <row r="6554" spans="1:4" ht="30">
      <c r="A6554" s="5" t="str">
        <f>HYPERLINK("https://www.oit.va.gov/Services/TRM/ToolPage.aspx?tid=15251^","Proctorio Chrome Extension")</f>
        <v>Proctorio Chrome Extension</v>
      </c>
      <c r="B6554" s="4" t="s">
        <v>1083</v>
      </c>
      <c r="C6554" s="8" t="s">
        <v>5</v>
      </c>
      <c r="D6554" s="11" t="s">
        <v>1084</v>
      </c>
    </row>
    <row r="6555" spans="1:4" ht="30">
      <c r="A6555" s="5" t="str">
        <f>HYPERLINK("https://www.oit.va.gov/Services/TRM/ToolPage.aspx?tid=14689^","Adorage")</f>
        <v>Adorage</v>
      </c>
      <c r="B6555" s="4" t="s">
        <v>5039</v>
      </c>
      <c r="C6555" s="8" t="s">
        <v>5</v>
      </c>
      <c r="D6555" s="11" t="s">
        <v>5040</v>
      </c>
    </row>
    <row r="6556" spans="1:4" ht="30">
      <c r="A6556" s="5" t="str">
        <f>HYPERLINK("https://www.oit.va.gov/Services/TRM/ToolPage.aspx?tid=13754^","ShopAtHome")</f>
        <v>ShopAtHome</v>
      </c>
      <c r="B6556" s="4" t="s">
        <v>8640</v>
      </c>
      <c r="C6556" s="8" t="s">
        <v>5</v>
      </c>
      <c r="D6556" s="11" t="s">
        <v>8641</v>
      </c>
    </row>
    <row r="6557" spans="1:4" ht="30">
      <c r="A6557" s="5" t="str">
        <f>HYPERLINK("https://www.oit.va.gov/Services/TRM/ToolPage.aspx?tid=6757^","Diabetes Management Software")</f>
        <v>Diabetes Management Software</v>
      </c>
      <c r="B6557" s="4" t="s">
        <v>3660</v>
      </c>
      <c r="C6557" s="8" t="s">
        <v>5</v>
      </c>
      <c r="D6557" s="11" t="s">
        <v>3661</v>
      </c>
    </row>
    <row r="6558" spans="1:4" ht="30">
      <c r="A6558" s="5" t="str">
        <f>HYPERLINK("https://www.oit.va.gov/Services/TRM/ToolPage.aspx?tid=10274^","Chai-Enzyme")</f>
        <v>Chai-Enzyme</v>
      </c>
      <c r="B6558" s="4" t="s">
        <v>7632</v>
      </c>
      <c r="C6558" s="8" t="s">
        <v>5</v>
      </c>
      <c r="D6558" s="11" t="s">
        <v>7633</v>
      </c>
    </row>
    <row r="6559" spans="1:4" ht="30">
      <c r="A6559" s="5" t="str">
        <f>HYPERLINK("https://www.oit.va.gov/Services/TRM/ToolPage.aspx?tid=10039^","SQCpack")</f>
        <v>SQCpack</v>
      </c>
      <c r="B6559" s="4" t="s">
        <v>114</v>
      </c>
      <c r="C6559" s="8" t="s">
        <v>5</v>
      </c>
      <c r="D6559" s="11" t="s">
        <v>115</v>
      </c>
    </row>
    <row r="6560" spans="1:4" ht="30">
      <c r="A6560" s="5" t="str">
        <f>HYPERLINK("https://www.oit.va.gov/Services/TRM/ToolPage.aspx?tid=7240^","Stanford-Binet Intelligence Scales, Fifth Edition, (SB5) Scoring Pro")</f>
        <v>Stanford-Binet Intelligence Scales, Fifth Edition, (SB5) Scoring Pro</v>
      </c>
      <c r="B6560" s="4" t="s">
        <v>7182</v>
      </c>
      <c r="C6560" s="8" t="s">
        <v>5</v>
      </c>
      <c r="D6560" s="11" t="s">
        <v>7144</v>
      </c>
    </row>
    <row r="6561" spans="1:4" ht="30">
      <c r="A6561" s="5" t="str">
        <f>HYPERLINK("https://www.oit.va.gov/Services/TRM/ToolPage.aspx?tid=15275^","Profit Fab Lite")</f>
        <v>Profit Fab Lite</v>
      </c>
      <c r="B6561" s="4" t="s">
        <v>2878</v>
      </c>
      <c r="C6561" s="8" t="s">
        <v>5</v>
      </c>
      <c r="D6561" s="11" t="s">
        <v>570</v>
      </c>
    </row>
    <row r="6562" spans="1:4" ht="30">
      <c r="A6562" s="5" t="str">
        <f>HYPERLINK("https://www.oit.va.gov/Services/TRM/ToolPage.aspx?tid=10633^","PROFOX Oximetry Software")</f>
        <v>PROFOX Oximetry Software</v>
      </c>
      <c r="B6562" s="4" t="s">
        <v>3465</v>
      </c>
      <c r="C6562" s="8" t="s">
        <v>5</v>
      </c>
      <c r="D6562" s="11" t="s">
        <v>3466</v>
      </c>
    </row>
    <row r="6563" spans="1:4" ht="30">
      <c r="A6563" s="5" t="str">
        <f>HYPERLINK("https://www.oit.va.gov/Services/TRM/ToolPage.aspx?tid=11426^","Pro File Transfer Protocol Daemon (ProFTPD)")</f>
        <v>Pro File Transfer Protocol Daemon (ProFTPD)</v>
      </c>
      <c r="B6563" s="4" t="s">
        <v>8480</v>
      </c>
      <c r="C6563" s="8" t="s">
        <v>5</v>
      </c>
      <c r="D6563" s="11" t="s">
        <v>2321</v>
      </c>
    </row>
    <row r="6564" spans="1:4" ht="30">
      <c r="A6564" s="5" t="str">
        <f>HYPERLINK("https://www.oit.va.gov/Services/TRM/ToolPage.aspx?tid=10565^","Progeny Clinical")</f>
        <v>Progeny Clinical</v>
      </c>
      <c r="B6564" s="4" t="s">
        <v>5444</v>
      </c>
      <c r="C6564" s="8" t="s">
        <v>5</v>
      </c>
      <c r="D6564" s="11" t="s">
        <v>5445</v>
      </c>
    </row>
    <row r="6565" spans="1:4" ht="30">
      <c r="A6565" s="5" t="str">
        <f>HYPERLINK("https://www.oit.va.gov/Services/TRM/ToolPage.aspx?tid=7027^","MOVEit Transfer")</f>
        <v>MOVEit Transfer</v>
      </c>
      <c r="B6565" s="4" t="s">
        <v>1755</v>
      </c>
      <c r="C6565" s="8" t="s">
        <v>5</v>
      </c>
      <c r="D6565" s="11" t="s">
        <v>1756</v>
      </c>
    </row>
    <row r="6566" spans="1:4" ht="30">
      <c r="A6566" s="5" t="str">
        <f>HYPERLINK("https://www.oit.va.gov/Services/TRM/ToolPage.aspx?tid=16609^","Telerik User Interface (UI) for Blazor")</f>
        <v>Telerik User Interface (UI) for Blazor</v>
      </c>
      <c r="B6566" s="4" t="s">
        <v>1755</v>
      </c>
      <c r="C6566" s="8" t="s">
        <v>5</v>
      </c>
      <c r="D6566" s="11" t="s">
        <v>1992</v>
      </c>
    </row>
    <row r="6567" spans="1:4" ht="30">
      <c r="A6567" s="5" t="str">
        <f>HYPERLINK("https://www.oit.va.gov/Services/TRM/ToolPage.aspx?tid=7022^","WhatsUp Gold")</f>
        <v>WhatsUp Gold</v>
      </c>
      <c r="B6567" s="4" t="s">
        <v>1755</v>
      </c>
      <c r="C6567" s="8" t="s">
        <v>5</v>
      </c>
      <c r="D6567" s="11" t="s">
        <v>2058</v>
      </c>
    </row>
    <row r="6568" spans="1:4" ht="30">
      <c r="A6568" s="5" t="str">
        <f>HYPERLINK("https://www.oit.va.gov/Services/TRM/ToolPage.aspx?tid=5785^","WinSock File Transfer Protocol (WS_FTP)")</f>
        <v>WinSock File Transfer Protocol (WS_FTP)</v>
      </c>
      <c r="B6568" s="4" t="s">
        <v>1755</v>
      </c>
      <c r="C6568" s="8" t="s">
        <v>5</v>
      </c>
      <c r="D6568" s="11" t="s">
        <v>2064</v>
      </c>
    </row>
    <row r="6569" spans="1:4" ht="30">
      <c r="A6569" s="5" t="str">
        <f>HYPERLINK("https://www.oit.va.gov/Services/TRM/ToolPage.aspx?tid=6982^","MOVEit Automation")</f>
        <v>MOVEit Automation</v>
      </c>
      <c r="B6569" s="4" t="s">
        <v>1755</v>
      </c>
      <c r="C6569" s="8" t="s">
        <v>5</v>
      </c>
      <c r="D6569" s="11" t="s">
        <v>4461</v>
      </c>
    </row>
    <row r="6570" spans="1:4" ht="30">
      <c r="A6570" s="5" t="str">
        <f>HYPERLINK("https://www.oit.va.gov/Services/TRM/ToolPage.aspx?tid=11320^","SiteFinity")</f>
        <v>SiteFinity</v>
      </c>
      <c r="B6570" s="4" t="s">
        <v>1755</v>
      </c>
      <c r="C6570" s="8" t="s">
        <v>5</v>
      </c>
      <c r="D6570" s="11" t="s">
        <v>816</v>
      </c>
    </row>
    <row r="6571" spans="1:4" ht="30">
      <c r="A6571" s="5" t="str">
        <f>HYPERLINK("https://www.oit.va.gov/Services/TRM/ToolPage.aspx?tid=16202^","Chef InSpec")</f>
        <v>Chef InSpec</v>
      </c>
      <c r="B6571" s="4" t="s">
        <v>1755</v>
      </c>
      <c r="C6571" s="8" t="s">
        <v>5</v>
      </c>
      <c r="D6571" s="11" t="s">
        <v>2431</v>
      </c>
    </row>
    <row r="6572" spans="1:4" ht="30">
      <c r="A6572" s="5" t="str">
        <f>HYPERLINK("https://www.oit.va.gov/Services/TRM/ToolPage.aspx?tid=14839^","Direct Data unix Open Database Connectivity (ODBC)")</f>
        <v>Direct Data unix Open Database Connectivity (ODBC)</v>
      </c>
      <c r="B6572" s="4" t="s">
        <v>1755</v>
      </c>
      <c r="C6572" s="8" t="s">
        <v>5</v>
      </c>
      <c r="D6572" s="11" t="s">
        <v>7774</v>
      </c>
    </row>
    <row r="6573" spans="1:4" ht="30">
      <c r="A6573" s="5" t="str">
        <f>HYPERLINK("https://www.oit.va.gov/Services/TRM/ToolPage.aspx?tid=13026^","ProIRB")</f>
        <v>ProIRB</v>
      </c>
      <c r="B6573" s="4" t="s">
        <v>6009</v>
      </c>
      <c r="C6573" s="8" t="s">
        <v>5</v>
      </c>
      <c r="D6573" s="11" t="s">
        <v>5481</v>
      </c>
    </row>
    <row r="6574" spans="1:4" ht="30">
      <c r="A6574" s="5" t="str">
        <f>HYPERLINK("https://www.oit.va.gov/Services/TRM/ToolPage.aspx?tid=11626^","Jupyter Notebook")</f>
        <v>Jupyter Notebook</v>
      </c>
      <c r="B6574" s="4" t="s">
        <v>2144</v>
      </c>
      <c r="C6574" s="8" t="s">
        <v>5</v>
      </c>
      <c r="D6574" s="11" t="s">
        <v>2145</v>
      </c>
    </row>
    <row r="6575" spans="1:4" ht="30">
      <c r="A6575" s="5" t="str">
        <f>HYPERLINK("https://www.oit.va.gov/Services/TRM/ToolPage.aspx?tid=14141^","JupyterHub")</f>
        <v>JupyterHub</v>
      </c>
      <c r="B6575" s="4" t="s">
        <v>2144</v>
      </c>
      <c r="C6575" s="8" t="s">
        <v>5</v>
      </c>
      <c r="D6575" s="11" t="s">
        <v>4322</v>
      </c>
    </row>
    <row r="6576" spans="1:4" ht="30">
      <c r="A6576" s="5" t="str">
        <f>HYPERLINK("https://www.oit.va.gov/Services/TRM/ToolPage.aspx?tid=14661^","JupyterLab")</f>
        <v>JupyterLab</v>
      </c>
      <c r="B6576" s="4" t="s">
        <v>2144</v>
      </c>
      <c r="C6576" s="8" t="s">
        <v>5</v>
      </c>
      <c r="D6576" s="11" t="s">
        <v>6757</v>
      </c>
    </row>
    <row r="6577" spans="1:4" ht="30">
      <c r="A6577" s="5" t="str">
        <f>HYPERLINK("https://www.oit.va.gov/Services/TRM/ToolPage.aspx?tid=15278^","Maxwell RSC Software")</f>
        <v>Maxwell RSC Software</v>
      </c>
      <c r="B6577" s="4" t="s">
        <v>5928</v>
      </c>
      <c r="C6577" s="8" t="s">
        <v>5</v>
      </c>
      <c r="D6577" s="11" t="s">
        <v>5929</v>
      </c>
    </row>
    <row r="6578" spans="1:4" ht="30">
      <c r="A6578" s="5" t="str">
        <f>HYPERLINK("https://www.oit.va.gov/Services/TRM/ToolPage.aspx?tid=9007^","ActivInspire")</f>
        <v>ActivInspire</v>
      </c>
      <c r="B6578" s="4" t="s">
        <v>2352</v>
      </c>
      <c r="C6578" s="8" t="s">
        <v>5</v>
      </c>
      <c r="D6578" s="11" t="s">
        <v>2353</v>
      </c>
    </row>
    <row r="6579" spans="1:4" ht="30">
      <c r="A6579" s="5" t="str">
        <f>HYPERLINK("https://www.oit.va.gov/Services/TRM/ToolPage.aspx?tid=15960^","ProProctor")</f>
        <v>ProProctor</v>
      </c>
      <c r="B6579" s="4" t="s">
        <v>4664</v>
      </c>
      <c r="C6579" s="8" t="s">
        <v>5</v>
      </c>
      <c r="D6579" s="11" t="s">
        <v>1071</v>
      </c>
    </row>
    <row r="6580" spans="1:4" ht="30">
      <c r="A6580" s="5" t="str">
        <f>HYPERLINK("https://www.oit.va.gov/Services/TRM/ToolPage.aspx?tid=10144^","Process Simulator (PCS)")</f>
        <v>Process Simulator (PCS)</v>
      </c>
      <c r="B6580" s="4" t="s">
        <v>4656</v>
      </c>
      <c r="C6580" s="8" t="s">
        <v>5</v>
      </c>
      <c r="D6580" s="11" t="s">
        <v>4657</v>
      </c>
    </row>
    <row r="6581" spans="1:4" ht="30">
      <c r="A6581" s="5" t="str">
        <f>HYPERLINK("https://www.oit.va.gov/Services/TRM/ToolPage.aspx?tid=6047^","MedModel")</f>
        <v>MedModel</v>
      </c>
      <c r="B6581" s="4" t="s">
        <v>4656</v>
      </c>
      <c r="C6581" s="8" t="s">
        <v>5</v>
      </c>
      <c r="D6581" s="11" t="s">
        <v>5318</v>
      </c>
    </row>
    <row r="6582" spans="1:4" ht="30">
      <c r="A6582" s="5" t="str">
        <f>HYPERLINK("https://www.oit.va.gov/Services/TRM/ToolPage.aspx?tid=8548^","Flip-Q")</f>
        <v>Flip-Q</v>
      </c>
      <c r="B6582" s="4" t="s">
        <v>5200</v>
      </c>
      <c r="C6582" s="8" t="s">
        <v>5</v>
      </c>
      <c r="D6582" s="11" t="s">
        <v>5201</v>
      </c>
    </row>
    <row r="6583" spans="1:4" ht="30">
      <c r="A6583" s="5" t="str">
        <f>HYPERLINK("https://www.oit.va.gov/Services/TRM/ToolPage.aspx?tid=10590^","Proofpoint Mail Routing Agent (MRA)")</f>
        <v>Proofpoint Mail Routing Agent (MRA)</v>
      </c>
      <c r="B6583" s="4" t="s">
        <v>5446</v>
      </c>
      <c r="C6583" s="8" t="s">
        <v>5</v>
      </c>
      <c r="D6583" s="11" t="s">
        <v>5447</v>
      </c>
    </row>
    <row r="6584" spans="1:4" ht="30">
      <c r="A6584" s="5" t="str">
        <f>HYPERLINK("https://www.oit.va.gov/Services/TRM/ToolPage.aspx?tid=6186^","RefWorks (Write-N-Cite)")</f>
        <v>RefWorks (Write-N-Cite)</v>
      </c>
      <c r="B6584" s="4" t="s">
        <v>4732</v>
      </c>
      <c r="C6584" s="8" t="s">
        <v>5</v>
      </c>
      <c r="D6584" s="11" t="s">
        <v>821</v>
      </c>
    </row>
    <row r="6585" spans="1:4" ht="30">
      <c r="A6585" s="5" t="str">
        <f>HYPERLINK("https://www.oit.va.gov/Services/TRM/ToolPage.aspx?tid=16410^","RefWorks Citation Manager")</f>
        <v>RefWorks Citation Manager</v>
      </c>
      <c r="B6585" s="4" t="s">
        <v>4732</v>
      </c>
      <c r="C6585" s="8" t="s">
        <v>5</v>
      </c>
      <c r="D6585" s="11" t="s">
        <v>2065</v>
      </c>
    </row>
    <row r="6586" spans="1:4" ht="30">
      <c r="A6586" s="5" t="str">
        <f>HYPERLINK("https://www.oit.va.gov/Services/TRM/ToolPage.aspx?tid=10743^","Veterans Health Information Systems and Technology Architecture (VistA) Automated Testing Suite (VATS)")</f>
        <v>Veterans Health Information Systems and Technology Architecture (VistA) Automated Testing Suite (VATS)</v>
      </c>
      <c r="B6586" s="4" t="s">
        <v>3613</v>
      </c>
      <c r="C6586" s="8" t="s">
        <v>5</v>
      </c>
      <c r="D6586" s="11" t="s">
        <v>3585</v>
      </c>
    </row>
    <row r="6587" spans="1:4" ht="30">
      <c r="A6587" s="5" t="str">
        <f>HYPERLINK("https://www.oit.va.gov/Services/TRM/ToolPage.aspx?tid=7961^","SimpleK Master Keying and Key Management")</f>
        <v>SimpleK Master Keying and Key Management</v>
      </c>
      <c r="B6587" s="4" t="s">
        <v>2952</v>
      </c>
      <c r="C6587" s="8" t="s">
        <v>5</v>
      </c>
      <c r="D6587" s="11" t="s">
        <v>2953</v>
      </c>
    </row>
    <row r="6588" spans="1:4" ht="30">
      <c r="A6588" s="5" t="str">
        <f>HYPERLINK("https://www.oit.va.gov/Services/TRM/ToolPage.aspx?tid=6654^","AlphaView")</f>
        <v>AlphaView</v>
      </c>
      <c r="B6588" s="4" t="s">
        <v>7434</v>
      </c>
      <c r="C6588" s="8" t="s">
        <v>5</v>
      </c>
      <c r="D6588" s="11" t="s">
        <v>3751</v>
      </c>
    </row>
    <row r="6589" spans="1:4" ht="30">
      <c r="A6589" s="5" t="str">
        <f>HYPERLINK("https://www.oit.va.gov/Services/TRM/ToolPage.aspx?tid=10326^","Plie 3 Microprocessor Knee")</f>
        <v>Plie 3 Microprocessor Knee</v>
      </c>
      <c r="B6589" s="4" t="s">
        <v>5427</v>
      </c>
      <c r="C6589" s="8" t="s">
        <v>5</v>
      </c>
      <c r="D6589" s="11" t="s">
        <v>441</v>
      </c>
    </row>
    <row r="6590" spans="1:4" ht="30">
      <c r="A6590" s="5" t="str">
        <f>HYPERLINK("https://www.oit.va.gov/Services/TRM/ToolPage.aspx?tid=7322^","Qualitative Data Analysis (QDA) Miner")</f>
        <v>Qualitative Data Analysis (QDA) Miner</v>
      </c>
      <c r="B6590" s="4" t="s">
        <v>819</v>
      </c>
      <c r="C6590" s="8" t="s">
        <v>5</v>
      </c>
      <c r="D6590" s="11" t="s">
        <v>820</v>
      </c>
    </row>
    <row r="6591" spans="1:4" ht="30">
      <c r="A6591" s="5" t="str">
        <f>HYPERLINK("https://www.oit.va.gov/Services/TRM/ToolPage.aspx?tid=7326^","WordStat")</f>
        <v>WordStat</v>
      </c>
      <c r="B6591" s="4" t="s">
        <v>819</v>
      </c>
      <c r="C6591" s="8" t="s">
        <v>5</v>
      </c>
      <c r="D6591" s="11" t="s">
        <v>3091</v>
      </c>
    </row>
    <row r="6592" spans="1:4" ht="30">
      <c r="A6592" s="5" t="str">
        <f>HYPERLINK("https://www.oit.va.gov/Services/TRM/ToolPage.aspx?tid=7323^","SimStat")</f>
        <v>SimStat</v>
      </c>
      <c r="B6592" s="4" t="s">
        <v>819</v>
      </c>
      <c r="C6592" s="8" t="s">
        <v>5</v>
      </c>
      <c r="D6592" s="11" t="s">
        <v>1095</v>
      </c>
    </row>
    <row r="6593" spans="1:4" ht="30">
      <c r="A6593" s="5" t="str">
        <f>HYPERLINK("https://www.oit.va.gov/Services/TRM/ToolPage.aspx?tid=15841^","Provar Chrome Tooling")</f>
        <v>Provar Chrome Tooling</v>
      </c>
      <c r="B6593" s="4" t="s">
        <v>2883</v>
      </c>
      <c r="C6593" s="8" t="s">
        <v>5</v>
      </c>
      <c r="D6593" s="11" t="s">
        <v>207</v>
      </c>
    </row>
    <row r="6594" spans="1:4" ht="30">
      <c r="A6594" s="5" t="str">
        <f>HYPERLINK("https://www.oit.va.gov/Services/TRM/ToolPage.aspx?tid=15812^","Provar")</f>
        <v>Provar</v>
      </c>
      <c r="B6594" s="4" t="s">
        <v>2883</v>
      </c>
      <c r="C6594" s="8" t="s">
        <v>5</v>
      </c>
      <c r="D6594" s="11" t="s">
        <v>157</v>
      </c>
    </row>
    <row r="6595" spans="1:4" ht="30">
      <c r="A6595" s="5" t="str">
        <f>HYPERLINK("https://www.oit.va.gov/Services/TRM/ToolPage.aspx?tid=6112^","ProVation Doctor of Medicine (MD)")</f>
        <v>ProVation Doctor of Medicine (MD)</v>
      </c>
      <c r="B6595" s="4" t="s">
        <v>4665</v>
      </c>
      <c r="C6595" s="8" t="s">
        <v>5</v>
      </c>
      <c r="D6595" s="11" t="s">
        <v>641</v>
      </c>
    </row>
    <row r="6596" spans="1:4" ht="30">
      <c r="A6596" s="5" t="str">
        <f>HYPERLINK("https://www.oit.va.gov/Services/TRM/ToolPage.aspx?tid=8695^","Provation endoPRO iQ")</f>
        <v>Provation endoPRO iQ</v>
      </c>
      <c r="B6596" s="4" t="s">
        <v>4665</v>
      </c>
      <c r="C6596" s="8" t="s">
        <v>5</v>
      </c>
      <c r="D6596" s="11" t="s">
        <v>4666</v>
      </c>
    </row>
    <row r="6597" spans="1:4" ht="30">
      <c r="A6597" s="5" t="str">
        <f>HYPERLINK("https://www.oit.va.gov/Services/TRM/ToolPage.aspx?tid=6113^","PROXY Pro")</f>
        <v>PROXY Pro</v>
      </c>
      <c r="B6597" s="4" t="s">
        <v>5448</v>
      </c>
      <c r="C6597" s="8" t="s">
        <v>5</v>
      </c>
      <c r="D6597" s="11" t="s">
        <v>5449</v>
      </c>
    </row>
    <row r="6598" spans="1:4" ht="30">
      <c r="A6598" s="5" t="str">
        <f>HYPERLINK("https://www.oit.va.gov/Services/TRM/ToolPage.aspx?tid=15221^","MedCodr")</f>
        <v>MedCodr</v>
      </c>
      <c r="B6598" s="4" t="s">
        <v>4393</v>
      </c>
      <c r="C6598" s="8" t="s">
        <v>5</v>
      </c>
      <c r="D6598" s="11" t="s">
        <v>4015</v>
      </c>
    </row>
    <row r="6599" spans="1:4" ht="30">
      <c r="A6599" s="5" t="str">
        <f>HYPERLINK("https://www.oit.va.gov/Services/TRM/ToolPage.aspx?tid=7462^","Rorschach Interpretation Assistance Program Version 5 (RIAP5)")</f>
        <v>Rorschach Interpretation Assistance Program Version 5 (RIAP5)</v>
      </c>
      <c r="B6599" s="4" t="s">
        <v>6049</v>
      </c>
      <c r="C6599" s="8" t="s">
        <v>5</v>
      </c>
      <c r="D6599" s="11" t="s">
        <v>6050</v>
      </c>
    </row>
    <row r="6600" spans="1:4" ht="30">
      <c r="A6600" s="5" t="str">
        <f>HYPERLINK("https://www.oit.va.gov/Services/TRM/ToolPage.aspx?tid=7309^","E-Prime")</f>
        <v>E-Prime</v>
      </c>
      <c r="B6600" s="4" t="s">
        <v>400</v>
      </c>
      <c r="C6600" s="8" t="s">
        <v>5</v>
      </c>
      <c r="D6600" s="11" t="s">
        <v>401</v>
      </c>
    </row>
    <row r="6601" spans="1:4" ht="30">
      <c r="A6601" s="5" t="str">
        <f>HYPERLINK("https://www.oit.va.gov/Services/TRM/ToolPage.aspx?tid=11015^","Psychophysics Toolbox Version 3 (PTB-3)")</f>
        <v>Psychophysics Toolbox Version 3 (PTB-3)</v>
      </c>
      <c r="B6601" s="4" t="s">
        <v>7040</v>
      </c>
      <c r="C6601" s="8" t="s">
        <v>5</v>
      </c>
      <c r="D6601" s="11" t="s">
        <v>2293</v>
      </c>
    </row>
    <row r="6602" spans="1:4" ht="30">
      <c r="A6602" s="5" t="str">
        <f>HYPERLINK("https://www.oit.va.gov/Services/TRM/ToolPage.aspx?tid=6603^","Mortice Kern Systems (MKS) Toolkit")</f>
        <v>Mortice Kern Systems (MKS) Toolkit</v>
      </c>
      <c r="B6602" s="4" t="s">
        <v>4454</v>
      </c>
      <c r="C6602" s="8" t="s">
        <v>5</v>
      </c>
      <c r="D6602" s="11" t="s">
        <v>4455</v>
      </c>
    </row>
    <row r="6603" spans="1:4" ht="30">
      <c r="A6603" s="5" t="str">
        <f>HYPERLINK("https://www.oit.va.gov/Services/TRM/ToolPage.aspx?tid=16548^","Parametric Technology Corporation (PTC) Mathcad Prime")</f>
        <v>Parametric Technology Corporation (PTC) Mathcad Prime</v>
      </c>
      <c r="B6603" s="4" t="s">
        <v>4454</v>
      </c>
      <c r="C6603" s="8" t="s">
        <v>5</v>
      </c>
      <c r="D6603" s="11" t="s">
        <v>1798</v>
      </c>
    </row>
    <row r="6604" spans="1:4" ht="30">
      <c r="A6604" s="5" t="str">
        <f>HYPERLINK("https://www.oit.va.gov/Services/TRM/ToolPage.aspx?tid=13170^","Lua")</f>
        <v>Lua</v>
      </c>
      <c r="B6604" s="4" t="s">
        <v>4376</v>
      </c>
      <c r="C6604" s="8" t="s">
        <v>5</v>
      </c>
      <c r="D6604" s="11" t="s">
        <v>4377</v>
      </c>
    </row>
    <row r="6605" spans="1:4" ht="30">
      <c r="A6605" s="5" t="str">
        <f>HYPERLINK("https://www.oit.va.gov/Services/TRM/ToolPage.aspx?tid=8247^","Ivanti Connect Secure")</f>
        <v>Ivanti Connect Secure</v>
      </c>
      <c r="B6605" s="4" t="s">
        <v>6739</v>
      </c>
      <c r="C6605" s="8" t="s">
        <v>5</v>
      </c>
      <c r="D6605" s="11" t="s">
        <v>1273</v>
      </c>
    </row>
    <row r="6606" spans="1:4" ht="30">
      <c r="A6606" s="5" t="str">
        <f>HYPERLINK("https://www.oit.va.gov/Services/TRM/ToolPage.aspx?tid=8322^","Punch! Architectural Series")</f>
        <v>Punch! Architectural Series</v>
      </c>
      <c r="B6606" s="4" t="s">
        <v>8497</v>
      </c>
      <c r="C6606" s="8" t="s">
        <v>5</v>
      </c>
      <c r="D6606" s="11" t="s">
        <v>5804</v>
      </c>
    </row>
    <row r="6607" spans="1:4" ht="30">
      <c r="A6607" s="5" t="str">
        <f>HYPERLINK("https://www.oit.va.gov/Services/TRM/ToolPage.aspx?tid=13722^","RocketDock")</f>
        <v>RocketDock</v>
      </c>
      <c r="B6607" s="4" t="s">
        <v>8575</v>
      </c>
      <c r="C6607" s="8" t="s">
        <v>5</v>
      </c>
      <c r="D6607" s="11" t="s">
        <v>8576</v>
      </c>
    </row>
    <row r="6608" spans="1:4" ht="30">
      <c r="A6608" s="5" t="str">
        <f>HYPERLINK("https://www.oit.va.gov/Services/TRM/ToolPage.aspx?tid=16863^","Puppet Bolt")</f>
        <v>Puppet Bolt</v>
      </c>
      <c r="B6608" s="4" t="s">
        <v>2889</v>
      </c>
      <c r="C6608" s="8" t="s">
        <v>5</v>
      </c>
      <c r="D6608" s="11" t="s">
        <v>2890</v>
      </c>
    </row>
    <row r="6609" spans="1:4" ht="30">
      <c r="A6609" s="5" t="str">
        <f>HYPERLINK("https://www.oit.va.gov/Services/TRM/ToolPage.aspx?tid=7112^","Puppet Enterprise")</f>
        <v>Puppet Enterprise</v>
      </c>
      <c r="B6609" s="4" t="s">
        <v>1871</v>
      </c>
      <c r="C6609" s="8" t="s">
        <v>5</v>
      </c>
      <c r="D6609" s="11" t="s">
        <v>719</v>
      </c>
    </row>
    <row r="6610" spans="1:4" ht="30">
      <c r="A6610" s="5" t="str">
        <f>HYPERLINK("https://www.oit.va.gov/Services/TRM/ToolPage.aspx?tid=7505^","ResolutionMD")</f>
        <v>ResolutionMD</v>
      </c>
      <c r="B6610" s="4" t="s">
        <v>6040</v>
      </c>
      <c r="C6610" s="8" t="s">
        <v>5</v>
      </c>
      <c r="D6610" s="11" t="s">
        <v>1721</v>
      </c>
    </row>
    <row r="6611" spans="1:4" ht="30">
      <c r="A6611" s="5" t="str">
        <f>HYPERLINK("https://www.oit.va.gov/Services/TRM/ToolPage.aspx?tid=13043^","Interactive Data Hall")</f>
        <v>Interactive Data Hall</v>
      </c>
      <c r="B6611" s="4" t="s">
        <v>8092</v>
      </c>
      <c r="C6611" s="8" t="s">
        <v>5</v>
      </c>
      <c r="D6611" s="11" t="s">
        <v>8093</v>
      </c>
    </row>
    <row r="6612" spans="1:4" ht="30">
      <c r="A6612" s="5" t="str">
        <f>HYPERLINK("https://www.oit.va.gov/Services/TRM/ToolPage.aspx?tid=6873^","Purple (P3)")</f>
        <v>Purple (P3)</v>
      </c>
      <c r="B6612" s="4" t="s">
        <v>2302</v>
      </c>
      <c r="C6612" s="8" t="s">
        <v>5</v>
      </c>
      <c r="D6612" s="11" t="s">
        <v>2303</v>
      </c>
    </row>
    <row r="6613" spans="1:4" ht="30">
      <c r="A6613" s="5" t="str">
        <f>HYPERLINK("https://www.oit.va.gov/Services/TRM/ToolPage.aspx?tid=5701^","PuTTY")</f>
        <v>PuTTY</v>
      </c>
      <c r="B6613" s="4" t="s">
        <v>7043</v>
      </c>
      <c r="C6613" s="8" t="s">
        <v>5</v>
      </c>
      <c r="D6613" s="11" t="s">
        <v>7044</v>
      </c>
    </row>
    <row r="6614" spans="1:4" ht="30">
      <c r="A6614" s="5" t="str">
        <f>HYPERLINK("https://www.oit.va.gov/Services/TRM/ToolPage.aspx?tid=10352^","Pyramid Analytics")</f>
        <v>Pyramid Analytics</v>
      </c>
      <c r="B6614" s="4" t="s">
        <v>4674</v>
      </c>
      <c r="C6614" s="8" t="s">
        <v>5</v>
      </c>
      <c r="D6614" s="11" t="s">
        <v>4675</v>
      </c>
    </row>
    <row r="6615" spans="1:4" ht="30">
      <c r="A6615" s="5" t="str">
        <f>HYPERLINK("https://www.oit.va.gov/Services/TRM/ToolPage.aspx?tid=16084^","PiWriter")</f>
        <v>PiWriter</v>
      </c>
      <c r="B6615" s="4" t="s">
        <v>6000</v>
      </c>
      <c r="C6615" s="8" t="s">
        <v>5</v>
      </c>
      <c r="D6615" s="11" t="s">
        <v>2604</v>
      </c>
    </row>
    <row r="6616" spans="1:4" ht="30">
      <c r="A6616" s="5" t="str">
        <f>HYPERLINK("https://www.oit.va.gov/Services/TRM/ToolPage.aspx?tid=14220^","Pyramid TimeTrax Sync")</f>
        <v>Pyramid TimeTrax Sync</v>
      </c>
      <c r="B6616" s="4" t="s">
        <v>6016</v>
      </c>
      <c r="C6616" s="8" t="s">
        <v>5</v>
      </c>
      <c r="D6616" s="11" t="s">
        <v>6017</v>
      </c>
    </row>
    <row r="6617" spans="1:4" ht="30">
      <c r="A6617" s="5" t="str">
        <f>HYPERLINK("https://www.oit.va.gov/Services/TRM/ToolPage.aspx?tid=15349^","Uniform Manifold Approximation and Projection (UMAP)")</f>
        <v>Uniform Manifold Approximation and Projection (UMAP)</v>
      </c>
      <c r="B6617" s="4" t="s">
        <v>7269</v>
      </c>
      <c r="C6617" s="8" t="s">
        <v>5</v>
      </c>
      <c r="D6617" s="11" t="s">
        <v>7270</v>
      </c>
    </row>
    <row r="6618" spans="1:4" ht="30">
      <c r="A6618" s="5" t="str">
        <f>HYPERLINK("https://www.oit.va.gov/Services/TRM/ToolPage.aspx?tid=15400^","XGBoost")</f>
        <v>XGBoost</v>
      </c>
      <c r="B6618" s="4" t="s">
        <v>7269</v>
      </c>
      <c r="C6618" s="8" t="s">
        <v>5</v>
      </c>
      <c r="D6618" s="11" t="s">
        <v>2019</v>
      </c>
    </row>
    <row r="6619" spans="1:4" ht="30">
      <c r="A6619" s="5" t="str">
        <f>HYPERLINK("https://www.oit.va.gov/Services/TRM/ToolPage.aspx?tid=15399^","SHapley Additive exPlanations (SHAP)")</f>
        <v>SHapley Additive exPlanations (SHAP)</v>
      </c>
      <c r="B6619" s="4" t="s">
        <v>7269</v>
      </c>
      <c r="C6619" s="8" t="s">
        <v>5</v>
      </c>
      <c r="D6619" s="11" t="s">
        <v>8633</v>
      </c>
    </row>
    <row r="6620" spans="1:4" ht="30">
      <c r="A6620" s="5" t="str">
        <f>HYPERLINK("https://www.oit.va.gov/Services/TRM/ToolPage.aspx?tid=16812^","Python Poetry")</f>
        <v>Python Poetry</v>
      </c>
      <c r="B6620" s="4" t="s">
        <v>4676</v>
      </c>
      <c r="C6620" s="8" t="s">
        <v>5</v>
      </c>
      <c r="D6620" s="11" t="s">
        <v>4677</v>
      </c>
    </row>
    <row r="6621" spans="1:4" ht="30">
      <c r="A6621" s="5" t="str">
        <f>HYPERLINK("https://www.oit.va.gov/Services/TRM/ToolPage.aspx?tid=5702^","Python")</f>
        <v>Python</v>
      </c>
      <c r="B6621" s="4" t="s">
        <v>3474</v>
      </c>
      <c r="C6621" s="8" t="s">
        <v>5</v>
      </c>
      <c r="D6621" s="11" t="s">
        <v>3475</v>
      </c>
    </row>
    <row r="6622" spans="1:4" ht="30">
      <c r="A6622" s="5" t="str">
        <f>HYPERLINK("https://www.oit.va.gov/Services/TRM/ToolPage.aspx?tid=13790^","PGXN Client")</f>
        <v>PGXN Client</v>
      </c>
      <c r="B6622" s="4" t="s">
        <v>3474</v>
      </c>
      <c r="C6622" s="8" t="s">
        <v>5</v>
      </c>
      <c r="D6622" s="11" t="s">
        <v>4595</v>
      </c>
    </row>
    <row r="6623" spans="1:4" ht="30">
      <c r="A6623" s="5" t="str">
        <f>HYPERLINK("https://www.oit.va.gov/Services/TRM/ToolPage.aspx?tid=16559^","tzdata")</f>
        <v>tzdata</v>
      </c>
      <c r="B6623" s="4" t="s">
        <v>3474</v>
      </c>
      <c r="C6623" s="8" t="s">
        <v>5</v>
      </c>
      <c r="D6623" s="11" t="s">
        <v>6126</v>
      </c>
    </row>
    <row r="6624" spans="1:4" ht="30">
      <c r="A6624" s="5" t="str">
        <f>HYPERLINK("https://www.oit.va.gov/Services/TRM/ToolPage.aspx?tid=15884^","BAMNostic")</f>
        <v>BAMNostic</v>
      </c>
      <c r="B6624" s="4" t="s">
        <v>3474</v>
      </c>
      <c r="C6624" s="8" t="s">
        <v>5</v>
      </c>
      <c r="D6624" s="11" t="s">
        <v>8</v>
      </c>
    </row>
    <row r="6625" spans="1:4" ht="30">
      <c r="A6625" s="5" t="str">
        <f>HYPERLINK("https://www.oit.va.gov/Services/TRM/ToolPage.aspx?tid=15264^","PyTorch - Python Interface")</f>
        <v>PyTorch - Python Interface</v>
      </c>
      <c r="B6625" s="4" t="s">
        <v>6018</v>
      </c>
      <c r="C6625" s="8" t="s">
        <v>5</v>
      </c>
      <c r="D6625" s="11" t="s">
        <v>6019</v>
      </c>
    </row>
    <row r="6626" spans="1:4" ht="30">
      <c r="A6626" s="5" t="str">
        <f>HYPERLINK("https://www.oit.va.gov/Services/TRM/ToolPage.aspx?tid=13543^","QA Series TransformerHD Software")</f>
        <v>QA Series TransformerHD Software</v>
      </c>
      <c r="B6626" s="4" t="s">
        <v>8505</v>
      </c>
      <c r="C6626" s="8" t="s">
        <v>5</v>
      </c>
      <c r="D6626" s="11" t="s">
        <v>2910</v>
      </c>
    </row>
    <row r="6627" spans="1:4" ht="30">
      <c r="A6627" s="5" t="str">
        <f>HYPERLINK("https://www.oit.va.gov/Services/TRM/ToolPage.aspx?tid=16416^","Allure Reporting")</f>
        <v>Allure Reporting</v>
      </c>
      <c r="B6627" s="4" t="s">
        <v>3726</v>
      </c>
      <c r="C6627" s="8" t="s">
        <v>5</v>
      </c>
      <c r="D6627" s="11" t="s">
        <v>3727</v>
      </c>
    </row>
    <row r="6628" spans="1:4" ht="30">
      <c r="A6628" s="5" t="str">
        <f>HYPERLINK("https://www.oit.va.gov/Services/TRM/ToolPage.aspx?tid=7067^","Qbase Data Transformer (QDT)")</f>
        <v>Qbase Data Transformer (QDT)</v>
      </c>
      <c r="B6628" s="4" t="s">
        <v>8507</v>
      </c>
      <c r="C6628" s="8" t="s">
        <v>5</v>
      </c>
      <c r="D6628" s="11" t="s">
        <v>6588</v>
      </c>
    </row>
    <row r="6629" spans="1:4" ht="30">
      <c r="A6629" s="5" t="str">
        <f>HYPERLINK("https://www.oit.va.gov/Services/TRM/ToolPage.aspx?tid=9322^","QuickReport")</f>
        <v>QuickReport</v>
      </c>
      <c r="B6629" s="4" t="s">
        <v>2900</v>
      </c>
      <c r="C6629" s="8" t="s">
        <v>5</v>
      </c>
      <c r="D6629" s="11" t="s">
        <v>2901</v>
      </c>
    </row>
    <row r="6630" spans="1:4" ht="30">
      <c r="A6630" s="5" t="str">
        <f>HYPERLINK("https://www.oit.va.gov/Services/TRM/ToolPage.aspx?tid=8006^","qRules")</f>
        <v>qRules</v>
      </c>
      <c r="B6630" s="4" t="s">
        <v>8512</v>
      </c>
      <c r="C6630" s="8" t="s">
        <v>5</v>
      </c>
      <c r="D6630" s="11" t="s">
        <v>8513</v>
      </c>
    </row>
    <row r="6631" spans="1:4" ht="30">
      <c r="A6631" s="5" t="str">
        <f>HYPERLINK("https://www.oit.va.gov/Services/TRM/ToolPage.aspx?tid=11788^","Q-Free Visual Control Center")</f>
        <v>Q-Free Visual Control Center</v>
      </c>
      <c r="B6631" s="4" t="s">
        <v>8508</v>
      </c>
      <c r="C6631" s="8" t="s">
        <v>5</v>
      </c>
      <c r="D6631" s="11" t="s">
        <v>8509</v>
      </c>
    </row>
    <row r="6632" spans="1:4" ht="30">
      <c r="A6632" s="5" t="str">
        <f>HYPERLINK("https://www.oit.va.gov/Services/TRM/ToolPage.aspx?tid=7743^","Quantum Geographic Information System (QGIS)")</f>
        <v>Quantum Geographic Information System (QGIS)</v>
      </c>
      <c r="B6632" s="4" t="s">
        <v>1242</v>
      </c>
      <c r="C6632" s="8" t="s">
        <v>5</v>
      </c>
      <c r="D6632" s="11" t="s">
        <v>1243</v>
      </c>
    </row>
    <row r="6633" spans="1:4" ht="30">
      <c r="A6633" s="5" t="str">
        <f>HYPERLINK("https://www.oit.va.gov/Services/TRM/ToolPage.aspx?tid=14806^","CLC Genomics WorkBench, Qiagen")</f>
        <v>CLC Genomics WorkBench, Qiagen</v>
      </c>
      <c r="B6633" s="4" t="s">
        <v>3920</v>
      </c>
      <c r="C6633" s="8" t="s">
        <v>5</v>
      </c>
      <c r="D6633" s="11" t="s">
        <v>2286</v>
      </c>
    </row>
    <row r="6634" spans="1:4" ht="30">
      <c r="A6634" s="5" t="str">
        <f>HYPERLINK("https://www.oit.va.gov/Services/TRM/ToolPage.aspx?tid=14659^","QuantiFERON-Tuberculosis (TB) Gold Plus")</f>
        <v>QuantiFERON-Tuberculosis (TB) Gold Plus</v>
      </c>
      <c r="B6634" s="4" t="s">
        <v>3920</v>
      </c>
      <c r="C6634" s="8" t="s">
        <v>5</v>
      </c>
      <c r="D6634" s="11" t="s">
        <v>7050</v>
      </c>
    </row>
    <row r="6635" spans="1:4" ht="30">
      <c r="A6635" s="5" t="str">
        <f>HYPERLINK("https://www.oit.va.gov/Services/TRM/ToolPage.aspx?tid=14956^","PyroMark Assay Design")</f>
        <v>PyroMark Assay Design</v>
      </c>
      <c r="B6635" s="4" t="s">
        <v>3920</v>
      </c>
      <c r="C6635" s="8" t="s">
        <v>5</v>
      </c>
      <c r="D6635" s="11" t="s">
        <v>8499</v>
      </c>
    </row>
    <row r="6636" spans="1:4" ht="30">
      <c r="A6636" s="5" t="str">
        <f>HYPERLINK("https://www.oit.va.gov/Services/TRM/ToolPage.aspx?tid=13703^","360 SafeGuard")</f>
        <v>360 SafeGuard</v>
      </c>
      <c r="B6636" s="4" t="s">
        <v>7359</v>
      </c>
      <c r="C6636" s="8" t="s">
        <v>5</v>
      </c>
      <c r="D6636" s="11" t="s">
        <v>7360</v>
      </c>
    </row>
    <row r="6637" spans="1:4" ht="30">
      <c r="A6637" s="5" t="str">
        <f>HYPERLINK("https://www.oit.va.gov/Services/TRM/ToolPage.aspx?tid=13399^","360 Secure Browser")</f>
        <v>360 Secure Browser</v>
      </c>
      <c r="B6637" s="4" t="s">
        <v>7359</v>
      </c>
      <c r="C6637" s="8" t="s">
        <v>5</v>
      </c>
      <c r="D6637" s="11" t="s">
        <v>7361</v>
      </c>
    </row>
    <row r="6638" spans="1:4" ht="30">
      <c r="A6638" s="5" t="str">
        <f>HYPERLINK("https://www.oit.va.gov/Services/TRM/ToolPage.aspx?tid=10879^","QCam Installer")</f>
        <v>QCam Installer</v>
      </c>
      <c r="B6638" s="4" t="s">
        <v>7046</v>
      </c>
      <c r="C6638" s="8" t="s">
        <v>5</v>
      </c>
      <c r="D6638" s="11" t="s">
        <v>7047</v>
      </c>
    </row>
    <row r="6639" spans="1:4" ht="30">
      <c r="A6639" s="5" t="str">
        <f>HYPERLINK("https://www.oit.va.gov/Services/TRM/ToolPage.aspx?tid=14850^","QuantX")</f>
        <v>QuantX</v>
      </c>
      <c r="B6639" s="4" t="s">
        <v>7046</v>
      </c>
      <c r="C6639" s="8" t="s">
        <v>5</v>
      </c>
      <c r="D6639" s="11" t="s">
        <v>8518</v>
      </c>
    </row>
    <row r="6640" spans="1:4" ht="30">
      <c r="A6640" s="5" t="str">
        <f>HYPERLINK("https://www.oit.va.gov/Services/TRM/ToolPage.aspx?tid=16829^","Talend Data Catalog (TDC)")</f>
        <v>Talend Data Catalog (TDC)</v>
      </c>
      <c r="B6640" s="4" t="s">
        <v>1985</v>
      </c>
      <c r="C6640" s="8" t="s">
        <v>5</v>
      </c>
      <c r="D6640" s="11" t="s">
        <v>772</v>
      </c>
    </row>
    <row r="6641" spans="1:4" ht="30">
      <c r="A6641" s="5" t="str">
        <f>HYPERLINK("https://www.oit.va.gov/Services/TRM/ToolPage.aspx?tid=15359^","Qlik Replicate")</f>
        <v>Qlik Replicate</v>
      </c>
      <c r="B6641" s="4" t="s">
        <v>1985</v>
      </c>
      <c r="C6641" s="8" t="s">
        <v>5</v>
      </c>
      <c r="D6641" s="11" t="s">
        <v>2224</v>
      </c>
    </row>
    <row r="6642" spans="1:4" ht="30">
      <c r="A6642" s="5" t="str">
        <f>HYPERLINK("https://www.oit.va.gov/Services/TRM/ToolPage.aspx?tid=6360^","QlikView")</f>
        <v>QlikView</v>
      </c>
      <c r="B6642" s="4" t="s">
        <v>817</v>
      </c>
      <c r="C6642" s="8" t="s">
        <v>5</v>
      </c>
      <c r="D6642" s="11" t="s">
        <v>818</v>
      </c>
    </row>
    <row r="6643" spans="1:4" ht="30">
      <c r="A6643" s="5" t="str">
        <f>HYPERLINK("https://www.oit.va.gov/Services/TRM/ToolPage.aspx?tid=15366^","Talend Data Fabric")</f>
        <v>Talend Data Fabric</v>
      </c>
      <c r="B6643" s="4" t="s">
        <v>817</v>
      </c>
      <c r="C6643" s="8" t="s">
        <v>5</v>
      </c>
      <c r="D6643" s="11" t="s">
        <v>3016</v>
      </c>
    </row>
    <row r="6644" spans="1:4" ht="30">
      <c r="A6644" s="5" t="str">
        <f>HYPERLINK("https://www.oit.va.gov/Services/TRM/ToolPage.aspx?tid=15338^","Qlik - Enterprise Data Catalog")</f>
        <v>Qlik - Enterprise Data Catalog</v>
      </c>
      <c r="B6644" s="4" t="s">
        <v>817</v>
      </c>
      <c r="C6644" s="8" t="s">
        <v>5</v>
      </c>
      <c r="D6644" s="11" t="s">
        <v>4680</v>
      </c>
    </row>
    <row r="6645" spans="1:4" ht="30">
      <c r="A6645" s="5" t="str">
        <f>HYPERLINK("https://www.oit.va.gov/Services/TRM/ToolPage.aspx?tid=9806^","Qmatic Orchestra")</f>
        <v>Qmatic Orchestra</v>
      </c>
      <c r="B6645" s="4" t="s">
        <v>452</v>
      </c>
      <c r="C6645" s="8" t="s">
        <v>5</v>
      </c>
      <c r="D6645" s="11" t="s">
        <v>453</v>
      </c>
    </row>
    <row r="6646" spans="1:4" ht="30">
      <c r="A6646" s="5" t="str">
        <f>HYPERLINK("https://www.oit.va.gov/Services/TRM/HardwarePage.aspx?tid=7816^","Qmatic Suite")</f>
        <v>Qmatic Suite</v>
      </c>
      <c r="B6646" s="4" t="s">
        <v>452</v>
      </c>
      <c r="C6646" s="8" t="s">
        <v>5</v>
      </c>
      <c r="D6646" s="11" t="s">
        <v>1204</v>
      </c>
    </row>
    <row r="6647" spans="1:4" ht="30">
      <c r="A6647" s="5" t="str">
        <f>HYPERLINK("https://www.oit.va.gov/Services/TRM/ToolPage.aspx?tid=14740^","QMatic Solo")</f>
        <v>QMatic Solo</v>
      </c>
      <c r="B6647" s="4" t="s">
        <v>452</v>
      </c>
      <c r="C6647" s="8" t="s">
        <v>5</v>
      </c>
      <c r="D6647" s="11" t="s">
        <v>1526</v>
      </c>
    </row>
    <row r="6648" spans="1:4" ht="30">
      <c r="A6648" s="5" t="str">
        <f>HYPERLINK("https://www.oit.va.gov/Services/TRM/ToolPage.aspx?tid=10010^","Ocularis Video Management Software (VMS)")</f>
        <v>Ocularis Video Management Software (VMS)</v>
      </c>
      <c r="B6648" s="4" t="s">
        <v>1784</v>
      </c>
      <c r="C6648" s="8" t="s">
        <v>5</v>
      </c>
      <c r="D6648" s="11" t="s">
        <v>1785</v>
      </c>
    </row>
    <row r="6649" spans="1:4" ht="30">
      <c r="A6649" s="5" t="str">
        <f>HYPERLINK("https://www.oit.va.gov/Services/TRM/ToolPage.aspx?tid=11686^","FlowWorks Pro")</f>
        <v>FlowWorks Pro</v>
      </c>
      <c r="B6649" s="4" t="s">
        <v>7937</v>
      </c>
      <c r="C6649" s="8" t="s">
        <v>5</v>
      </c>
      <c r="D6649" s="11" t="s">
        <v>7938</v>
      </c>
    </row>
    <row r="6650" spans="1:4" ht="30">
      <c r="A6650" s="5" t="str">
        <f>HYPERLINK("https://www.oit.va.gov/Services/TRM/ToolPage.aspx?tid=9566^","Qclick Audience Response System (ARS)")</f>
        <v>Qclick Audience Response System (ARS)</v>
      </c>
      <c r="B6650" s="4" t="s">
        <v>7937</v>
      </c>
      <c r="C6650" s="8" t="s">
        <v>5</v>
      </c>
      <c r="D6650" s="11" t="s">
        <v>1891</v>
      </c>
    </row>
    <row r="6651" spans="1:4" ht="30">
      <c r="A6651" s="5" t="str">
        <f>HYPERLINK("https://www.oit.va.gov/Services/TRM/ToolPage.aspx?tid=10142^","jPDFEditor")</f>
        <v>jPDFEditor</v>
      </c>
      <c r="B6651" s="4" t="s">
        <v>4317</v>
      </c>
      <c r="C6651" s="8" t="s">
        <v>5</v>
      </c>
      <c r="D6651" s="11" t="s">
        <v>4318</v>
      </c>
    </row>
    <row r="6652" spans="1:4" ht="30">
      <c r="A6652" s="5" t="str">
        <f>HYPERLINK("https://www.oit.va.gov/Services/TRM/ToolPage.aspx?tid=16477^","Logback")</f>
        <v>Logback</v>
      </c>
      <c r="B6652" s="4" t="s">
        <v>228</v>
      </c>
      <c r="C6652" s="8" t="s">
        <v>5</v>
      </c>
      <c r="D6652" s="11" t="s">
        <v>149</v>
      </c>
    </row>
    <row r="6653" spans="1:4" ht="30">
      <c r="A6653" s="5" t="str">
        <f>HYPERLINK("https://www.oit.va.gov/Services/TRM/ToolPage.aspx?tid=7735^","Simple Logging Facade for Java (SLF4J)")</f>
        <v>Simple Logging Facade for Java (SLF4J)</v>
      </c>
      <c r="B6653" s="4" t="s">
        <v>228</v>
      </c>
      <c r="C6653" s="8" t="s">
        <v>5</v>
      </c>
      <c r="D6653" s="11" t="s">
        <v>1927</v>
      </c>
    </row>
    <row r="6654" spans="1:4" ht="30">
      <c r="A6654" s="5" t="str">
        <f>HYPERLINK("https://www.oit.va.gov/Services/TRM/ToolPage.aspx?tid=16403^","Q-SYS Designer Software")</f>
        <v>Q-SYS Designer Software</v>
      </c>
      <c r="B6654" s="4" t="s">
        <v>2896</v>
      </c>
      <c r="C6654" s="8" t="s">
        <v>5</v>
      </c>
      <c r="D6654" s="11" t="s">
        <v>2897</v>
      </c>
    </row>
    <row r="6655" spans="1:4" ht="30">
      <c r="A6655" s="5" t="str">
        <f>HYPERLINK("https://www.oit.va.gov/Services/TRM/ToolPage.aspx?tid=7444^","Software Lifecycle Management (SLIM)-DataManager")</f>
        <v>Software Lifecycle Management (SLIM)-DataManager</v>
      </c>
      <c r="B6655" s="4" t="s">
        <v>7156</v>
      </c>
      <c r="C6655" s="8" t="s">
        <v>5</v>
      </c>
      <c r="D6655" s="11" t="s">
        <v>7157</v>
      </c>
    </row>
    <row r="6656" spans="1:4" ht="30">
      <c r="A6656" s="5" t="str">
        <f>HYPERLINK("https://www.oit.va.gov/Services/TRM/ToolPage.aspx?tid=7445^","Software Lifecycle Management (SLIM)-Estimate")</f>
        <v>Software Lifecycle Management (SLIM)-Estimate</v>
      </c>
      <c r="B6656" s="4" t="s">
        <v>7156</v>
      </c>
      <c r="C6656" s="8" t="s">
        <v>5</v>
      </c>
      <c r="D6656" s="11" t="s">
        <v>8688</v>
      </c>
    </row>
    <row r="6657" spans="1:4" ht="30">
      <c r="A6657" s="5" t="str">
        <f>HYPERLINK("https://www.oit.va.gov/Services/TRM/ToolPage.aspx?tid=7446^","Software Lifecycle Management (SLIM)-MasterPlan")</f>
        <v>Software Lifecycle Management (SLIM)-MasterPlan</v>
      </c>
      <c r="B6657" s="4" t="s">
        <v>7156</v>
      </c>
      <c r="C6657" s="8" t="s">
        <v>5</v>
      </c>
      <c r="D6657" s="11" t="s">
        <v>8688</v>
      </c>
    </row>
    <row r="6658" spans="1:4" ht="30">
      <c r="A6658" s="5" t="str">
        <f>HYPERLINK("https://www.oit.va.gov/Services/TRM/ToolPage.aspx?tid=16047^","NVivo Collaboration Server")</f>
        <v>NVivo Collaboration Server</v>
      </c>
      <c r="B6658" s="4" t="s">
        <v>1781</v>
      </c>
      <c r="C6658" s="8" t="s">
        <v>5</v>
      </c>
      <c r="D6658" s="11" t="s">
        <v>1782</v>
      </c>
    </row>
    <row r="6659" spans="1:4" ht="30">
      <c r="A6659" s="5" t="str">
        <f>HYPERLINK("https://www.oit.va.gov/Services/TRM/ToolPage.aspx?tid=10552^","NCapture")</f>
        <v>NCapture</v>
      </c>
      <c r="B6659" s="4" t="s">
        <v>1781</v>
      </c>
      <c r="C6659" s="8" t="s">
        <v>5</v>
      </c>
      <c r="D6659" s="11" t="s">
        <v>5373</v>
      </c>
    </row>
    <row r="6660" spans="1:4" ht="30">
      <c r="A6660" s="5" t="str">
        <f>HYPERLINK("https://www.oit.va.gov/Services/TRM/ToolPage.aspx?tid=10498^","NVivo Add-In for OneNote")</f>
        <v>NVivo Add-In for OneNote</v>
      </c>
      <c r="B6660" s="4" t="s">
        <v>1781</v>
      </c>
      <c r="C6660" s="8" t="s">
        <v>5</v>
      </c>
      <c r="D6660" s="11" t="s">
        <v>4521</v>
      </c>
    </row>
    <row r="6661" spans="1:4" ht="30">
      <c r="A6661" s="5" t="str">
        <f>HYPERLINK("https://www.oit.va.gov/Services/TRM/ToolPage.aspx?tid=16211^","Quadient Device Manager for S.M.A.R.T (Shipping, Mailing, Accounting, Reporting and Tracking)")</f>
        <v>Quadient Device Manager for S.M.A.R.T (Shipping, Mailing, Accounting, Reporting and Tracking)</v>
      </c>
      <c r="B6661" s="4" t="s">
        <v>531</v>
      </c>
      <c r="C6661" s="8" t="s">
        <v>5</v>
      </c>
      <c r="D6661" s="11" t="s">
        <v>532</v>
      </c>
    </row>
    <row r="6662" spans="1:4" ht="30">
      <c r="A6662" s="5" t="str">
        <f>HYPERLINK("https://www.oit.va.gov/Services/TRM/ToolPage.aspx?tid=8200^","Web Tracking System (WTS)")</f>
        <v>Web Tracking System (WTS)</v>
      </c>
      <c r="B6662" s="4" t="s">
        <v>531</v>
      </c>
      <c r="C6662" s="8" t="s">
        <v>5</v>
      </c>
      <c r="D6662" s="11" t="s">
        <v>2052</v>
      </c>
    </row>
    <row r="6663" spans="1:4" ht="30">
      <c r="A6663" s="5" t="str">
        <f>HYPERLINK("https://www.oit.va.gov/Services/TRM/ToolPage.aspx?tid=11724^","Quadient Impress")</f>
        <v>Quadient Impress</v>
      </c>
      <c r="B6663" s="4" t="s">
        <v>531</v>
      </c>
      <c r="C6663" s="8" t="s">
        <v>5</v>
      </c>
      <c r="D6663" s="11" t="s">
        <v>2898</v>
      </c>
    </row>
    <row r="6664" spans="1:4" ht="30">
      <c r="A6664" s="5" t="str">
        <f>HYPERLINK("https://www.oit.va.gov/Services/TRM/ToolPage.aspx?tid=7696^","Enhanced Mailing and Shipping (EMS)")</f>
        <v>Enhanced Mailing and Shipping (EMS)</v>
      </c>
      <c r="B6664" s="4" t="s">
        <v>531</v>
      </c>
      <c r="C6664" s="8" t="s">
        <v>5</v>
      </c>
      <c r="D6664" s="11" t="s">
        <v>4094</v>
      </c>
    </row>
    <row r="6665" spans="1:4" ht="30">
      <c r="A6665" s="5" t="str">
        <f>HYPERLINK("https://www.oit.va.gov/Services/TRM/ToolPage.aspx?tid=7264^","Neopost Printmachine Office")</f>
        <v>Neopost Printmachine Office</v>
      </c>
      <c r="B6665" s="4" t="s">
        <v>531</v>
      </c>
      <c r="C6665" s="8" t="s">
        <v>5</v>
      </c>
      <c r="D6665" s="11" t="s">
        <v>5561</v>
      </c>
    </row>
    <row r="6666" spans="1:4" ht="30">
      <c r="A6666" s="5" t="str">
        <f>HYPERLINK("https://www.oit.va.gov/Services/TRM/ToolPage.aspx?tid=8005^","Logistics Management System (LMS)")</f>
        <v>Logistics Management System (LMS)</v>
      </c>
      <c r="B6666" s="4" t="s">
        <v>531</v>
      </c>
      <c r="C6666" s="8" t="s">
        <v>5</v>
      </c>
      <c r="D6666" s="11" t="s">
        <v>8194</v>
      </c>
    </row>
    <row r="6667" spans="1:4" ht="30">
      <c r="A6667" s="5" t="str">
        <f>HYPERLINK("https://www.oit.va.gov/Services/TRM/ToolPage.aspx?tid=16634^","QualCoder")</f>
        <v>QualCoder</v>
      </c>
      <c r="B6667" s="4" t="s">
        <v>6021</v>
      </c>
      <c r="C6667" s="8" t="s">
        <v>5</v>
      </c>
      <c r="D6667" s="11" t="s">
        <v>6022</v>
      </c>
    </row>
    <row r="6668" spans="1:4" ht="30">
      <c r="A6668" s="5" t="str">
        <f>HYPERLINK("https://www.oit.va.gov/Services/TRM/ToolPage.aspx?tid=8616^","Capsule Medical Device Information System (MDIS)")</f>
        <v>Capsule Medical Device Information System (MDIS)</v>
      </c>
      <c r="B6668" s="4" t="s">
        <v>7611</v>
      </c>
      <c r="C6668" s="8" t="s">
        <v>5</v>
      </c>
      <c r="D6668" s="11" t="s">
        <v>385</v>
      </c>
    </row>
    <row r="6669" spans="1:4" ht="30">
      <c r="A6669" s="5" t="str">
        <f>HYPERLINK("https://www.oit.va.gov/Services/TRM/ToolPage.aspx?tid=12818^","Qualisys Track Manager (QTM)")</f>
        <v>Qualisys Track Manager (QTM)</v>
      </c>
      <c r="B6669" s="4" t="s">
        <v>1876</v>
      </c>
      <c r="C6669" s="8" t="s">
        <v>5</v>
      </c>
      <c r="D6669" s="11" t="s">
        <v>1877</v>
      </c>
    </row>
    <row r="6670" spans="1:4" ht="30">
      <c r="A6670" s="5" t="str">
        <f>HYPERLINK("https://www.oit.va.gov/Services/TRM/ToolPage.aspx?tid=7595^","Quality Unit LiveAgent")</f>
        <v>Quality Unit LiveAgent</v>
      </c>
      <c r="B6670" s="4" t="s">
        <v>5457</v>
      </c>
      <c r="C6670" s="8" t="s">
        <v>5</v>
      </c>
      <c r="D6670" s="11" t="s">
        <v>5458</v>
      </c>
    </row>
    <row r="6671" spans="1:4" ht="30">
      <c r="A6671" s="5" t="str">
        <f>HYPERLINK("https://www.oit.va.gov/Services/TRM/ToolPage.aspx?tid=15323^","QualityMetric PRO CoRE")</f>
        <v>QualityMetric PRO CoRE</v>
      </c>
      <c r="B6671" s="4" t="s">
        <v>6023</v>
      </c>
      <c r="C6671" s="8" t="s">
        <v>5</v>
      </c>
      <c r="D6671" s="11" t="s">
        <v>2615</v>
      </c>
    </row>
    <row r="6672" spans="1:4" ht="30">
      <c r="A6672" s="5" t="str">
        <f>HYPERLINK("https://www.oit.va.gov/Services/TRM/ToolPage.aspx?tid=16267^","StorNext File System")</f>
        <v>StorNext File System</v>
      </c>
      <c r="B6672" s="4" t="s">
        <v>6089</v>
      </c>
      <c r="C6672" s="8" t="s">
        <v>5</v>
      </c>
      <c r="D6672" s="11" t="s">
        <v>3568</v>
      </c>
    </row>
    <row r="6673" spans="1:4" ht="30">
      <c r="A6673" s="5" t="str">
        <f>HYPERLINK("https://www.oit.va.gov/Services/TRM/ToolPage.aspx?tid=13068^","ECON-W")</f>
        <v>ECON-W</v>
      </c>
      <c r="B6673" s="4" t="s">
        <v>4065</v>
      </c>
      <c r="C6673" s="8" t="s">
        <v>5</v>
      </c>
      <c r="D6673" s="11" t="s">
        <v>4066</v>
      </c>
    </row>
    <row r="6674" spans="1:4" ht="30">
      <c r="A6674" s="5" t="str">
        <f>HYPERLINK("https://www.oit.va.gov/Services/TRM/ToolPage.aspx?tid=16833^","Quarto")</f>
        <v>Quarto</v>
      </c>
      <c r="B6674" s="4" t="s">
        <v>3477</v>
      </c>
      <c r="C6674" s="8" t="s">
        <v>5</v>
      </c>
      <c r="D6674" s="11" t="s">
        <v>2380</v>
      </c>
    </row>
    <row r="6675" spans="1:4" ht="30">
      <c r="A6675" s="5" t="str">
        <f>HYPERLINK("https://www.oit.va.gov/Services/TRM/ToolPage.aspx?tid=6146^","Staff Anyware")</f>
        <v>Staff Anyware</v>
      </c>
      <c r="B6675" s="4" t="s">
        <v>1955</v>
      </c>
      <c r="C6675" s="8" t="s">
        <v>5</v>
      </c>
      <c r="D6675" s="11" t="s">
        <v>357</v>
      </c>
    </row>
    <row r="6676" spans="1:4" ht="30">
      <c r="A6676" s="5" t="str">
        <f>HYPERLINK("https://www.oit.va.gov/Services/TRM/ToolPage.aspx?tid=12960^","Change Auditor")</f>
        <v>Change Auditor</v>
      </c>
      <c r="B6676" s="4" t="s">
        <v>291</v>
      </c>
      <c r="C6676" s="8" t="s">
        <v>5</v>
      </c>
      <c r="D6676" s="11" t="s">
        <v>292</v>
      </c>
    </row>
    <row r="6677" spans="1:4" ht="30">
      <c r="A6677" s="5" t="str">
        <f>HYPERLINK("https://www.oit.va.gov/Services/TRM/ToolPage.aspx?tid=5014^","Foglight")</f>
        <v>Foglight</v>
      </c>
      <c r="B6677" s="4" t="s">
        <v>291</v>
      </c>
      <c r="C6677" s="8" t="s">
        <v>5</v>
      </c>
      <c r="D6677" s="11" t="s">
        <v>302</v>
      </c>
    </row>
    <row r="6678" spans="1:4" ht="30">
      <c r="A6678" s="5" t="str">
        <f>HYPERLINK("https://www.oit.va.gov/Services/TRM/ToolPage.aspx?tid=15789^","Quest Migration Manager for Active Directory")</f>
        <v>Quest Migration Manager for Active Directory</v>
      </c>
      <c r="B6678" s="4" t="s">
        <v>291</v>
      </c>
      <c r="C6678" s="8" t="s">
        <v>5</v>
      </c>
      <c r="D6678" s="11" t="s">
        <v>821</v>
      </c>
    </row>
    <row r="6679" spans="1:4" ht="30">
      <c r="A6679" s="5" t="str">
        <f>HYPERLINK("https://www.oit.va.gov/Services/TRM/ToolPage.aspx?tid=8652^","Recovery Manager for Exchange")</f>
        <v>Recovery Manager for Exchange</v>
      </c>
      <c r="B6679" s="4" t="s">
        <v>291</v>
      </c>
      <c r="C6679" s="8" t="s">
        <v>5</v>
      </c>
      <c r="D6679" s="11" t="s">
        <v>827</v>
      </c>
    </row>
    <row r="6680" spans="1:4" ht="30">
      <c r="A6680" s="5" t="str">
        <f>HYPERLINK("https://www.oit.va.gov/Services/TRM/ToolPage.aspx?tid=6335^","Spotlight on Structured Query Language (SQL) Server Enterprise")</f>
        <v>Spotlight on Structured Query Language (SQL) Server Enterprise</v>
      </c>
      <c r="B6680" s="4" t="s">
        <v>291</v>
      </c>
      <c r="C6680" s="8" t="s">
        <v>5</v>
      </c>
      <c r="D6680" s="11" t="s">
        <v>865</v>
      </c>
    </row>
    <row r="6681" spans="1:4" ht="30">
      <c r="A6681" s="5" t="str">
        <f>HYPERLINK("https://www.oit.va.gov/Services/TRM/ToolPage.aspx?tid=6382^","Tool for Oracle Application Developers (TOAD) for Oracle")</f>
        <v>Tool for Oracle Application Developers (TOAD) for Oracle</v>
      </c>
      <c r="B6681" s="4" t="s">
        <v>291</v>
      </c>
      <c r="C6681" s="8" t="s">
        <v>5</v>
      </c>
      <c r="D6681" s="11" t="s">
        <v>879</v>
      </c>
    </row>
    <row r="6682" spans="1:4" ht="30">
      <c r="A6682" s="5" t="str">
        <f>HYPERLINK("https://www.oit.va.gov/Services/TRM/ToolPage.aspx?tid=6340^","Tool for Oracle Application Developers (TOAD) for Structured Query Language (SQL) Server")</f>
        <v>Tool for Oracle Application Developers (TOAD) for Structured Query Language (SQL) Server</v>
      </c>
      <c r="B6682" s="4" t="s">
        <v>291</v>
      </c>
      <c r="C6682" s="8" t="s">
        <v>5</v>
      </c>
      <c r="D6682" s="11" t="s">
        <v>880</v>
      </c>
    </row>
    <row r="6683" spans="1:4" ht="30">
      <c r="A6683" s="5" t="str">
        <f>HYPERLINK("https://www.oit.va.gov/Services/TRM/ToolPage.aspx?tid=5457^","vRanger")</f>
        <v>vRanger</v>
      </c>
      <c r="B6683" s="4" t="s">
        <v>291</v>
      </c>
      <c r="C6683" s="8" t="s">
        <v>5</v>
      </c>
      <c r="D6683" s="11" t="s">
        <v>901</v>
      </c>
    </row>
    <row r="6684" spans="1:4" ht="30">
      <c r="A6684" s="5" t="str">
        <f>HYPERLINK("https://www.oit.va.gov/Services/TRM/ToolPage.aspx?tid=6650^","LiteSpeed for SQL Server")</f>
        <v>LiteSpeed for SQL Server</v>
      </c>
      <c r="B6684" s="4" t="s">
        <v>291</v>
      </c>
      <c r="C6684" s="8" t="s">
        <v>5</v>
      </c>
      <c r="D6684" s="11" t="s">
        <v>2146</v>
      </c>
    </row>
    <row r="6685" spans="1:4" ht="30">
      <c r="A6685" s="5" t="str">
        <f>HYPERLINK("https://www.oit.va.gov/Services/TRM/ToolPage.aspx?tid=15788^","Quest Recovery Manager for Active Directory")</f>
        <v>Quest Recovery Manager for Active Directory</v>
      </c>
      <c r="B6685" s="4" t="s">
        <v>291</v>
      </c>
      <c r="C6685" s="8" t="s">
        <v>5</v>
      </c>
      <c r="D6685" s="11" t="s">
        <v>2899</v>
      </c>
    </row>
    <row r="6686" spans="1:4" ht="30">
      <c r="A6686" s="5" t="str">
        <f>HYPERLINK("https://www.oit.va.gov/Services/TRM/ToolPage.aspx?tid=15285^","Spotlight on Oracle")</f>
        <v>Spotlight on Oracle</v>
      </c>
      <c r="B6686" s="4" t="s">
        <v>291</v>
      </c>
      <c r="C6686" s="8" t="s">
        <v>5</v>
      </c>
      <c r="D6686" s="11" t="s">
        <v>2986</v>
      </c>
    </row>
    <row r="6687" spans="1:4" ht="30">
      <c r="A6687" s="5" t="str">
        <f>HYPERLINK("https://www.oit.va.gov/Services/TRM/ToolPage.aspx?tid=6380^","Tool for Oracle Application Developers (TOAD) Data Modeler (TDM)")</f>
        <v>Tool for Oracle Application Developers (TOAD) Data Modeler (TDM)</v>
      </c>
      <c r="B6687" s="4" t="s">
        <v>291</v>
      </c>
      <c r="C6687" s="8" t="s">
        <v>5</v>
      </c>
      <c r="D6687" s="11" t="s">
        <v>1820</v>
      </c>
    </row>
    <row r="6688" spans="1:4" ht="30">
      <c r="A6688" s="5" t="str">
        <f>HYPERLINK("https://www.oit.va.gov/Services/TRM/ToolPage.aspx?tid=6381^","Tool for Oracle Application Developers (TOAD) Data Point")</f>
        <v>Tool for Oracle Application Developers (TOAD) Data Point</v>
      </c>
      <c r="B6688" s="4" t="s">
        <v>291</v>
      </c>
      <c r="C6688" s="8" t="s">
        <v>5</v>
      </c>
      <c r="D6688" s="11" t="s">
        <v>3025</v>
      </c>
    </row>
    <row r="6689" spans="1:4" ht="30">
      <c r="A6689" s="5" t="str">
        <f>HYPERLINK("https://www.oit.va.gov/Services/TRM/ToolPage.aspx?tid=14287^","ApexSQL Model")</f>
        <v>ApexSQL Model</v>
      </c>
      <c r="B6689" s="4" t="s">
        <v>291</v>
      </c>
      <c r="C6689" s="8" t="s">
        <v>5</v>
      </c>
      <c r="D6689" s="11" t="s">
        <v>3760</v>
      </c>
    </row>
    <row r="6690" spans="1:4" ht="30">
      <c r="A6690" s="5" t="str">
        <f>HYPERLINK("https://www.oit.va.gov/Services/TRM/ToolPage.aspx?tid=6243^","Benchmark Factory for Databases")</f>
        <v>Benchmark Factory for Databases</v>
      </c>
      <c r="B6690" s="4" t="s">
        <v>291</v>
      </c>
      <c r="C6690" s="8" t="s">
        <v>5</v>
      </c>
      <c r="D6690" s="11" t="s">
        <v>3437</v>
      </c>
    </row>
    <row r="6691" spans="1:4" ht="30">
      <c r="A6691" s="5" t="str">
        <f>HYPERLINK("https://www.oit.va.gov/Services/TRM/ToolPage.aspx?tid=6278^","Code Tester for Oracle")</f>
        <v>Code Tester for Oracle</v>
      </c>
      <c r="B6691" s="4" t="s">
        <v>291</v>
      </c>
      <c r="C6691" s="8" t="s">
        <v>5</v>
      </c>
      <c r="D6691" s="11" t="s">
        <v>3939</v>
      </c>
    </row>
    <row r="6692" spans="1:4" ht="30">
      <c r="A6692" s="5" t="str">
        <f>HYPERLINK("https://www.oit.va.gov/Services/TRM/ToolPage.aspx?tid=15840^","Quest Enterprise Reporter")</f>
        <v>Quest Enterprise Reporter</v>
      </c>
      <c r="B6692" s="4" t="s">
        <v>291</v>
      </c>
      <c r="C6692" s="8" t="s">
        <v>5</v>
      </c>
      <c r="D6692" s="11" t="s">
        <v>4686</v>
      </c>
    </row>
    <row r="6693" spans="1:4" ht="30">
      <c r="A6693" s="5" t="str">
        <f>HYPERLINK("https://www.oit.va.gov/Services/TRM/ToolPage.aspx?tid=6919^","Quest Secure Copy")</f>
        <v>Quest Secure Copy</v>
      </c>
      <c r="B6693" s="4" t="s">
        <v>291</v>
      </c>
      <c r="C6693" s="8" t="s">
        <v>5</v>
      </c>
      <c r="D6693" s="11" t="s">
        <v>4688</v>
      </c>
    </row>
    <row r="6694" spans="1:4" ht="30">
      <c r="A6694" s="5" t="str">
        <f>HYPERLINK("https://www.oit.va.gov/Services/TRM/ToolPage.aspx?tid=16837^","Quest Security Explorer")</f>
        <v>Quest Security Explorer</v>
      </c>
      <c r="B6694" s="4" t="s">
        <v>291</v>
      </c>
      <c r="C6694" s="8" t="s">
        <v>5</v>
      </c>
      <c r="D6694" s="11" t="s">
        <v>4689</v>
      </c>
    </row>
    <row r="6695" spans="1:4" ht="30">
      <c r="A6695" s="5" t="str">
        <f>HYPERLINK("https://www.oit.va.gov/Services/TRM/ToolPage.aspx?tid=14347^","Quest Toad Data Modeler")</f>
        <v>Quest Toad Data Modeler</v>
      </c>
      <c r="B6695" s="4" t="s">
        <v>291</v>
      </c>
      <c r="C6695" s="8" t="s">
        <v>5</v>
      </c>
      <c r="D6695" s="11" t="s">
        <v>1252</v>
      </c>
    </row>
    <row r="6696" spans="1:4" ht="30">
      <c r="A6696" s="5" t="str">
        <f>HYPERLINK("https://www.oit.va.gov/Services/TRM/ToolPage.aspx?tid=6333^","Structured Query Language (SQL) Optimizer for Oracle")</f>
        <v>Structured Query Language (SQL) Optimizer for Oracle</v>
      </c>
      <c r="B6696" s="4" t="s">
        <v>291</v>
      </c>
      <c r="C6696" s="8" t="s">
        <v>5</v>
      </c>
      <c r="D6696" s="11" t="s">
        <v>4865</v>
      </c>
    </row>
    <row r="6697" spans="1:4" ht="30">
      <c r="A6697" s="5" t="str">
        <f>HYPERLINK("https://www.oit.va.gov/Services/TRM/ToolPage.aspx?tid=13541^","Tool for Oracle Application Developers (TOAD) Intelligence Central")</f>
        <v>Tool for Oracle Application Developers (TOAD) Intelligence Central</v>
      </c>
      <c r="B6697" s="4" t="s">
        <v>291</v>
      </c>
      <c r="C6697" s="8" t="s">
        <v>5</v>
      </c>
      <c r="D6697" s="11" t="s">
        <v>305</v>
      </c>
    </row>
    <row r="6698" spans="1:4" ht="30">
      <c r="A6698" s="5" t="str">
        <f>HYPERLINK("https://www.oit.va.gov/Services/TRM/ToolPage.aspx?tid=7347^","SharePlex")</f>
        <v>SharePlex</v>
      </c>
      <c r="B6698" s="4" t="s">
        <v>291</v>
      </c>
      <c r="C6698" s="8" t="s">
        <v>5</v>
      </c>
      <c r="D6698" s="11" t="s">
        <v>1703</v>
      </c>
    </row>
    <row r="6699" spans="1:4" ht="30">
      <c r="A6699" s="5" t="str">
        <f>HYPERLINK("https://www.oit.va.gov/Services/TRM/ToolPage.aspx?tid=15722^","Toad Edge")</f>
        <v>Toad Edge</v>
      </c>
      <c r="B6699" s="4" t="s">
        <v>291</v>
      </c>
      <c r="C6699" s="8" t="s">
        <v>5</v>
      </c>
      <c r="D6699" s="11" t="s">
        <v>6114</v>
      </c>
    </row>
    <row r="6700" spans="1:4" ht="30">
      <c r="A6700" s="5" t="str">
        <f>HYPERLINK("https://www.oit.va.gov/Services/TRM/ToolPage.aspx?tid=11080^","Backup Reporter for Oracle")</f>
        <v>Backup Reporter for Oracle</v>
      </c>
      <c r="B6700" s="4" t="s">
        <v>291</v>
      </c>
      <c r="C6700" s="8" t="s">
        <v>5</v>
      </c>
      <c r="D6700" s="11" t="s">
        <v>6320</v>
      </c>
    </row>
    <row r="6701" spans="1:4" ht="30">
      <c r="A6701" s="5" t="str">
        <f>HYPERLINK("https://www.oit.va.gov/Services/TRM/ToolPage.aspx?tid=8163^","Metalogix StoragePoint")</f>
        <v>Metalogix StoragePoint</v>
      </c>
      <c r="B6701" s="4" t="s">
        <v>291</v>
      </c>
      <c r="C6701" s="8" t="s">
        <v>5</v>
      </c>
      <c r="D6701" s="11" t="s">
        <v>4219</v>
      </c>
    </row>
    <row r="6702" spans="1:4" ht="30">
      <c r="A6702" s="5" t="str">
        <f>HYPERLINK("https://www.oit.va.gov/Services/TRM/ToolPage.aspx?tid=7390^","Foglight Performance Analysis for Oracle")</f>
        <v>Foglight Performance Analysis for Oracle</v>
      </c>
      <c r="B6702" s="4" t="s">
        <v>291</v>
      </c>
      <c r="C6702" s="8" t="s">
        <v>5</v>
      </c>
      <c r="D6702" s="11" t="s">
        <v>601</v>
      </c>
    </row>
    <row r="6703" spans="1:4" ht="30">
      <c r="A6703" s="5" t="str">
        <f>HYPERLINK("https://www.oit.va.gov/Services/TRM/ToolPage.aspx?tid=37^","JProbe")</f>
        <v>JProbe</v>
      </c>
      <c r="B6703" s="4" t="s">
        <v>291</v>
      </c>
      <c r="C6703" s="8" t="s">
        <v>5</v>
      </c>
      <c r="D6703" s="11" t="s">
        <v>8130</v>
      </c>
    </row>
    <row r="6704" spans="1:4" ht="30">
      <c r="A6704" s="5" t="str">
        <f>HYPERLINK("https://www.oit.va.gov/Services/TRM/ToolPage.aspx?tid=10620^","Knowledge Xpert for Oracle Administration")</f>
        <v>Knowledge Xpert for Oracle Administration</v>
      </c>
      <c r="B6704" s="4" t="s">
        <v>291</v>
      </c>
      <c r="C6704" s="8" t="s">
        <v>5</v>
      </c>
      <c r="D6704" s="11" t="s">
        <v>8157</v>
      </c>
    </row>
    <row r="6705" spans="1:4" ht="30">
      <c r="A6705" s="5" t="str">
        <f>HYPERLINK("https://www.oit.va.gov/Services/TRM/ToolPage.aspx?tid=6279^","Migration Suite for SharePoint")</f>
        <v>Migration Suite for SharePoint</v>
      </c>
      <c r="B6705" s="4" t="s">
        <v>291</v>
      </c>
      <c r="C6705" s="8" t="s">
        <v>5</v>
      </c>
      <c r="D6705" s="11" t="s">
        <v>145</v>
      </c>
    </row>
    <row r="6706" spans="1:4" ht="30">
      <c r="A6706" s="5" t="str">
        <f>HYPERLINK("https://www.oit.va.gov/Services/TRM/ToolPage.aspx?tid=6282^","Quest Recovery Manager for SharePoint")</f>
        <v>Quest Recovery Manager for SharePoint</v>
      </c>
      <c r="B6706" s="4" t="s">
        <v>291</v>
      </c>
      <c r="C6706" s="8" t="s">
        <v>5</v>
      </c>
      <c r="D6706" s="11" t="s">
        <v>3932</v>
      </c>
    </row>
    <row r="6707" spans="1:4" ht="30">
      <c r="A6707" s="5" t="str">
        <f>HYPERLINK("https://www.oit.va.gov/Services/TRM/ToolPage.aspx?tid=10678^","Tool for Oracle Application Developers (TOAD) for MySQL Freeware")</f>
        <v>Tool for Oracle Application Developers (TOAD) for MySQL Freeware</v>
      </c>
      <c r="B6707" s="4" t="s">
        <v>291</v>
      </c>
      <c r="C6707" s="8" t="s">
        <v>5</v>
      </c>
      <c r="D6707" s="11" t="s">
        <v>8816</v>
      </c>
    </row>
    <row r="6708" spans="1:4" ht="30">
      <c r="A6708" s="5" t="str">
        <f>HYPERLINK("https://www.oit.va.gov/Services/TRM/ToolPage.aspx?tid=15861^","Quest Quanum Utilities Browser Extension")</f>
        <v>Quest Quanum Utilities Browser Extension</v>
      </c>
      <c r="B6708" s="4" t="s">
        <v>822</v>
      </c>
      <c r="C6708" s="8" t="s">
        <v>5</v>
      </c>
      <c r="D6708" s="11" t="s">
        <v>670</v>
      </c>
    </row>
    <row r="6709" spans="1:4" ht="30">
      <c r="A6709" s="5" t="str">
        <f>HYPERLINK("https://www.oit.va.gov/Services/TRM/ToolPage.aspx?tid=14572^","AutoReceive")</f>
        <v>AutoReceive</v>
      </c>
      <c r="B6709" s="4" t="s">
        <v>822</v>
      </c>
      <c r="C6709" s="8" t="s">
        <v>5</v>
      </c>
      <c r="D6709" s="11" t="s">
        <v>3801</v>
      </c>
    </row>
    <row r="6710" spans="1:4" ht="30">
      <c r="A6710" s="5" t="str">
        <f>HYPERLINK("https://www.oit.va.gov/Services/TRM/ToolPage.aspx?tid=15855^","Quest Quanum Utilities")</f>
        <v>Quest Quanum Utilities</v>
      </c>
      <c r="B6710" s="4" t="s">
        <v>822</v>
      </c>
      <c r="C6710" s="8" t="s">
        <v>5</v>
      </c>
      <c r="D6710" s="11" t="s">
        <v>4687</v>
      </c>
    </row>
    <row r="6711" spans="1:4" ht="30">
      <c r="A6711" s="5" t="str">
        <f>HYPERLINK("https://www.oit.va.gov/Services/TRM/ToolPage.aspx?tid=10431^","Questionmark Secure")</f>
        <v>Questionmark Secure</v>
      </c>
      <c r="B6711" s="4" t="s">
        <v>7054</v>
      </c>
      <c r="C6711" s="8" t="s">
        <v>5</v>
      </c>
      <c r="D6711" s="11" t="s">
        <v>7055</v>
      </c>
    </row>
    <row r="6712" spans="1:4" ht="30">
      <c r="A6712" s="5" t="str">
        <f>HYPERLINK("https://www.oit.va.gov/Services/TRM/ToolPage.aspx?tid=11734^","WorkStudy")</f>
        <v>WorkStudy</v>
      </c>
      <c r="B6712" s="4" t="s">
        <v>2067</v>
      </c>
      <c r="C6712" s="8" t="s">
        <v>5</v>
      </c>
      <c r="D6712" s="11" t="s">
        <v>2068</v>
      </c>
    </row>
    <row r="6713" spans="1:4" ht="30">
      <c r="A6713" s="5" t="str">
        <f>HYPERLINK("https://www.oit.va.gov/Services/TRM/ToolPage.aspx?tid=15663^","Quha Dwell")</f>
        <v>Quha Dwell</v>
      </c>
      <c r="B6713" s="4" t="s">
        <v>4690</v>
      </c>
      <c r="C6713" s="8" t="s">
        <v>5</v>
      </c>
      <c r="D6713" s="11" t="s">
        <v>4691</v>
      </c>
    </row>
    <row r="6714" spans="1:4" ht="30">
      <c r="A6714" s="5" t="str">
        <f>HYPERLINK("https://www.oit.va.gov/Services/TRM/ToolPage.aspx?tid=15731^","Quha Zono 2")</f>
        <v>Quha Zono 2</v>
      </c>
      <c r="B6714" s="4" t="s">
        <v>4690</v>
      </c>
      <c r="C6714" s="8" t="s">
        <v>5</v>
      </c>
      <c r="D6714" s="11" t="s">
        <v>4692</v>
      </c>
    </row>
    <row r="6715" spans="1:4" ht="30">
      <c r="A6715" s="5" t="str">
        <f>HYPERLINK("https://www.oit.va.gov/Services/TRM/ToolPage.aspx?tid=16160^","Quha Zono X")</f>
        <v>Quha Zono X</v>
      </c>
      <c r="B6715" s="4" t="s">
        <v>4690</v>
      </c>
      <c r="C6715" s="8" t="s">
        <v>5</v>
      </c>
      <c r="D6715" s="11" t="s">
        <v>1243</v>
      </c>
    </row>
    <row r="6716" spans="1:4" ht="30">
      <c r="A6716" s="5" t="str">
        <f>HYPERLINK("https://www.oit.va.gov/Services/TRM/ToolPage.aspx?tid=6672^","Quicken Home and Business")</f>
        <v>Quicken Home and Business</v>
      </c>
      <c r="B6716" s="4" t="s">
        <v>8520</v>
      </c>
      <c r="C6716" s="8" t="s">
        <v>5</v>
      </c>
      <c r="D6716" s="11" t="s">
        <v>8088</v>
      </c>
    </row>
    <row r="6717" spans="1:4" ht="30">
      <c r="A6717" s="5" t="str">
        <f>HYPERLINK("https://www.oit.va.gov/Services/TRM/ToolPage.aspx?tid=15034^","QuickMAR")</f>
        <v>QuickMAR</v>
      </c>
      <c r="B6717" s="4" t="s">
        <v>8521</v>
      </c>
      <c r="C6717" s="8" t="s">
        <v>5</v>
      </c>
      <c r="D6717" s="11" t="s">
        <v>8522</v>
      </c>
    </row>
    <row r="6718" spans="1:4" ht="30">
      <c r="A6718" s="5" t="str">
        <f>HYPERLINK("https://www.oit.va.gov/Services/TRM/ToolPage.aspx?tid=14855^","WordQ")</f>
        <v>WordQ</v>
      </c>
      <c r="B6718" s="4" t="s">
        <v>5000</v>
      </c>
      <c r="C6718" s="8" t="s">
        <v>5</v>
      </c>
      <c r="D6718" s="11" t="s">
        <v>5001</v>
      </c>
    </row>
    <row r="6719" spans="1:4" ht="30">
      <c r="A6719" s="5" t="str">
        <f>HYPERLINK("https://www.oit.va.gov/Services/TRM/ToolPage.aspx?tid=8447^","Dumbster")</f>
        <v>Dumbster</v>
      </c>
      <c r="B6719" s="4" t="s">
        <v>7812</v>
      </c>
      <c r="C6719" s="8" t="s">
        <v>5</v>
      </c>
      <c r="D6719" s="11" t="s">
        <v>7813</v>
      </c>
    </row>
    <row r="6720" spans="1:4" ht="30">
      <c r="A6720" s="5" t="str">
        <f>HYPERLINK("https://www.oit.va.gov/Services/TRM/ToolPage.aspx?tid=15869^","Quobyte")</f>
        <v>Quobyte</v>
      </c>
      <c r="B6720" s="4" t="s">
        <v>4699</v>
      </c>
      <c r="C6720" s="8" t="s">
        <v>5</v>
      </c>
      <c r="D6720" s="11" t="s">
        <v>1703</v>
      </c>
    </row>
    <row r="6721" spans="1:4" ht="30">
      <c r="A6721" s="5" t="str">
        <f>HYPERLINK("https://www.oit.va.gov/Services/TRM/ToolPage.aspx?tid=16442^","Qvera Interface Engine (QIE)")</f>
        <v>Qvera Interface Engine (QIE)</v>
      </c>
      <c r="B6721" s="4" t="s">
        <v>2902</v>
      </c>
      <c r="C6721" s="8" t="s">
        <v>5</v>
      </c>
      <c r="D6721" s="11" t="s">
        <v>657</v>
      </c>
    </row>
    <row r="6722" spans="1:4" ht="30">
      <c r="A6722" s="5" t="str">
        <f>HYPERLINK("https://www.oit.va.gov/Services/TRM/ToolPage.aspx?tid=13084^","Qwizdom OKTOPUS")</f>
        <v>Qwizdom OKTOPUS</v>
      </c>
      <c r="B6722" s="4" t="s">
        <v>4700</v>
      </c>
      <c r="C6722" s="8" t="s">
        <v>5</v>
      </c>
      <c r="D6722" s="11" t="s">
        <v>4701</v>
      </c>
    </row>
    <row r="6723" spans="1:4" ht="30">
      <c r="A6723" s="5" t="str">
        <f>HYPERLINK("https://www.oit.va.gov/Services/TRM/ToolPage.aspx?tid=9970^","WizTeach")</f>
        <v>WizTeach</v>
      </c>
      <c r="B6723" s="4" t="s">
        <v>4700</v>
      </c>
      <c r="C6723" s="8" t="s">
        <v>5</v>
      </c>
      <c r="D6723" s="11" t="s">
        <v>8947</v>
      </c>
    </row>
    <row r="6724" spans="1:4" ht="30">
      <c r="A6724" s="5" t="str">
        <f>HYPERLINK("https://www.oit.va.gov/Services/TRM/ToolPage.aspx?tid=6117^","R for Statistical Computing")</f>
        <v>R for Statistical Computing</v>
      </c>
      <c r="B6724" s="4" t="s">
        <v>2172</v>
      </c>
      <c r="C6724" s="8" t="s">
        <v>5</v>
      </c>
      <c r="D6724" s="11" t="s">
        <v>2173</v>
      </c>
    </row>
    <row r="6725" spans="1:4" ht="30">
      <c r="A6725" s="5" t="str">
        <f>HYPERLINK("https://www.oit.va.gov/Services/TRM/ToolPage.aspx?tid=16574^","RackTables")</f>
        <v>RackTables</v>
      </c>
      <c r="B6725" s="4" t="s">
        <v>4704</v>
      </c>
      <c r="C6725" s="8" t="s">
        <v>5</v>
      </c>
      <c r="D6725" s="11" t="s">
        <v>4705</v>
      </c>
    </row>
    <row r="6726" spans="1:4" ht="30">
      <c r="A6726" s="5" t="str">
        <f>HYPERLINK("https://www.oit.va.gov/Services/TRM/ToolPage.aspx?tid=15724^","Radacad Microsoft Power Business Intelligence Helper")</f>
        <v>Radacad Microsoft Power Business Intelligence Helper</v>
      </c>
      <c r="B6726" s="4" t="s">
        <v>4706</v>
      </c>
      <c r="C6726" s="8" t="s">
        <v>5</v>
      </c>
      <c r="D6726" s="11" t="s">
        <v>4707</v>
      </c>
    </row>
    <row r="6727" spans="1:4" ht="30">
      <c r="A6727" s="5" t="str">
        <f>HYPERLINK("https://www.oit.va.gov/Services/TRM/ToolPage.aspx?tid=15671^","RadFormation AutoContour")</f>
        <v>RadFormation AutoContour</v>
      </c>
      <c r="B6727" s="4" t="s">
        <v>2903</v>
      </c>
      <c r="C6727" s="8" t="s">
        <v>5</v>
      </c>
      <c r="D6727" s="11" t="s">
        <v>2904</v>
      </c>
    </row>
    <row r="6728" spans="1:4" ht="30">
      <c r="A6728" s="5" t="str">
        <f>HYPERLINK("https://www.oit.va.gov/Services/TRM/ToolPage.aspx?tid=15664^","RadFormation ClearCalc")</f>
        <v>RadFormation ClearCalc</v>
      </c>
      <c r="B6728" s="4" t="s">
        <v>2903</v>
      </c>
      <c r="C6728" s="8" t="s">
        <v>5</v>
      </c>
      <c r="D6728" s="11" t="s">
        <v>2402</v>
      </c>
    </row>
    <row r="6729" spans="1:4" ht="30">
      <c r="A6729" s="5" t="str">
        <f>HYPERLINK("https://www.oit.va.gov/Services/TRM/ToolPage.aspx?tid=15655^","RadFormation ClearCheck")</f>
        <v>RadFormation ClearCheck</v>
      </c>
      <c r="B6729" s="4" t="s">
        <v>2903</v>
      </c>
      <c r="C6729" s="8" t="s">
        <v>5</v>
      </c>
      <c r="D6729" s="11" t="s">
        <v>1254</v>
      </c>
    </row>
    <row r="6730" spans="1:4" ht="30">
      <c r="A6730" s="5" t="str">
        <f>HYPERLINK("https://www.oit.va.gov/Services/TRM/ToolPage.aspx?tid=15170^","Radiance")</f>
        <v>Radiance</v>
      </c>
      <c r="B6730" s="4" t="s">
        <v>7061</v>
      </c>
      <c r="C6730" s="8" t="s">
        <v>5</v>
      </c>
      <c r="D6730" s="11" t="s">
        <v>1203</v>
      </c>
    </row>
    <row r="6731" spans="1:4" ht="30">
      <c r="A6731" s="5" t="str">
        <f>HYPERLINK("https://www.oit.va.gov/Services/TRM/ToolPage.aspx?tid=6673^","Radiantone FID (Federated Identity Directory)")</f>
        <v>Radiantone FID (Federated Identity Directory)</v>
      </c>
      <c r="B6731" s="4" t="s">
        <v>2174</v>
      </c>
      <c r="C6731" s="8" t="s">
        <v>5</v>
      </c>
      <c r="D6731" s="11" t="s">
        <v>2175</v>
      </c>
    </row>
    <row r="6732" spans="1:4" ht="30">
      <c r="A6732" s="5" t="str">
        <f>HYPERLINK("https://www.oit.va.gov/Services/TRM/ToolPage.aspx?tid=15701^","PCXMC")</f>
        <v>PCXMC</v>
      </c>
      <c r="B6732" s="4" t="s">
        <v>5991</v>
      </c>
      <c r="C6732" s="8" t="s">
        <v>5</v>
      </c>
      <c r="D6732" s="11" t="s">
        <v>1782</v>
      </c>
    </row>
    <row r="6733" spans="1:4" ht="30">
      <c r="A6733" s="5" t="str">
        <f>HYPERLINK("https://www.oit.va.gov/Services/TRM/ToolPage.aspx?tid=10223^","Clinical Trials Processor (CTP)")</f>
        <v>Clinical Trials Processor (CTP)</v>
      </c>
      <c r="B6733" s="4" t="s">
        <v>2461</v>
      </c>
      <c r="C6733" s="8" t="s">
        <v>5</v>
      </c>
      <c r="D6733" s="11" t="s">
        <v>2462</v>
      </c>
    </row>
    <row r="6734" spans="1:4" ht="30">
      <c r="A6734" s="5" t="str">
        <f>HYPERLINK("https://www.oit.va.gov/Services/TRM/ToolPage.aspx?tid=15654^","Examination Manager")</f>
        <v>Examination Manager</v>
      </c>
      <c r="B6734" s="4" t="s">
        <v>4109</v>
      </c>
      <c r="C6734" s="8" t="s">
        <v>5</v>
      </c>
      <c r="D6734" s="11" t="s">
        <v>4110</v>
      </c>
    </row>
    <row r="6735" spans="1:4" ht="30">
      <c r="A6735" s="5" t="str">
        <f>HYPERLINK("https://www.oit.va.gov/Services/TRM/ToolPage.aspx?tid=13901^","AQURE Point-of-Care (POC) Information Technology (IT)")</f>
        <v>AQURE Point-of-Care (POC) Information Technology (IT)</v>
      </c>
      <c r="B6735" s="4" t="s">
        <v>4109</v>
      </c>
      <c r="C6735" s="8" t="s">
        <v>5</v>
      </c>
      <c r="D6735" s="11" t="s">
        <v>5648</v>
      </c>
    </row>
    <row r="6736" spans="1:4" ht="30">
      <c r="A6736" s="5" t="str">
        <f>HYPERLINK("https://www.oit.va.gov/Services/TRM/ToolPage.aspx?tid=15478^","WebLOAD")</f>
        <v>WebLOAD</v>
      </c>
      <c r="B6736" s="4" t="s">
        <v>1127</v>
      </c>
      <c r="C6736" s="8" t="s">
        <v>5</v>
      </c>
      <c r="D6736" s="11" t="s">
        <v>854</v>
      </c>
    </row>
    <row r="6737" spans="1:4" ht="30">
      <c r="A6737" s="5" t="str">
        <f>HYPERLINK("https://www.oit.va.gov/Services/TRM/ToolPage.aspx?tid=11629^","ProRAE Studio II")</f>
        <v>ProRAE Studio II</v>
      </c>
      <c r="B6737" s="4" t="s">
        <v>3469</v>
      </c>
      <c r="C6737" s="8" t="s">
        <v>5</v>
      </c>
      <c r="D6737" s="11" t="s">
        <v>3470</v>
      </c>
    </row>
    <row r="6738" spans="1:4" ht="30">
      <c r="A6738" s="5" t="str">
        <f>HYPERLINK("https://www.oit.va.gov/Services/TRM/ToolPage.aspx?tid=11520^","Cross-OS")</f>
        <v>Cross-OS</v>
      </c>
      <c r="B6738" s="4" t="s">
        <v>7712</v>
      </c>
      <c r="C6738" s="8" t="s">
        <v>5</v>
      </c>
      <c r="D6738" s="11" t="s">
        <v>1130</v>
      </c>
    </row>
    <row r="6739" spans="1:4" ht="30">
      <c r="A6739" s="5" t="str">
        <f>HYPERLINK("https://www.oit.va.gov/Services/TRM/ToolPage.aspx?tid=7966^","Railo")</f>
        <v>Railo</v>
      </c>
      <c r="B6739" s="4" t="s">
        <v>5466</v>
      </c>
      <c r="C6739" s="8" t="s">
        <v>5</v>
      </c>
      <c r="D6739" s="11" t="s">
        <v>1315</v>
      </c>
    </row>
    <row r="6740" spans="1:4" ht="30">
      <c r="A6740" s="5" t="str">
        <f>HYPERLINK("https://www.oit.va.gov/Services/TRM/ToolPage.aspx?tid=11601^","Ruby on Rails")</f>
        <v>Ruby on Rails</v>
      </c>
      <c r="B6740" s="4" t="s">
        <v>831</v>
      </c>
      <c r="C6740" s="8" t="s">
        <v>5</v>
      </c>
      <c r="D6740" s="11" t="s">
        <v>832</v>
      </c>
    </row>
    <row r="6741" spans="1:4" ht="30">
      <c r="A6741" s="5" t="str">
        <f>HYPERLINK("https://www.oit.va.gov/Services/TRM/ToolPage.aspx?tid=11396^","File System Security PowerShell Module")</f>
        <v>File System Security PowerShell Module</v>
      </c>
      <c r="B6741" s="4" t="s">
        <v>7919</v>
      </c>
      <c r="C6741" s="8" t="s">
        <v>5</v>
      </c>
      <c r="D6741" s="11" t="s">
        <v>301</v>
      </c>
    </row>
    <row r="6742" spans="1:4" ht="30">
      <c r="A6742" s="5" t="str">
        <f>HYPERLINK("https://www.oit.va.gov/Services/TRM/ToolPage.aspx?tid=6441^","SikuliX")</f>
        <v>SikuliX</v>
      </c>
      <c r="B6742" s="4" t="s">
        <v>849</v>
      </c>
      <c r="C6742" s="8" t="s">
        <v>5</v>
      </c>
      <c r="D6742" s="11" t="s">
        <v>850</v>
      </c>
    </row>
    <row r="6743" spans="1:4" ht="30">
      <c r="A6743" s="5" t="str">
        <f>HYPERLINK("https://www.oit.va.gov/Services/TRM/ToolPage.aspx?tid=15777^","Rain Bird SiteControl")</f>
        <v>Rain Bird SiteControl</v>
      </c>
      <c r="B6743" s="4" t="s">
        <v>7063</v>
      </c>
      <c r="C6743" s="8" t="s">
        <v>5</v>
      </c>
      <c r="D6743" s="11" t="s">
        <v>6031</v>
      </c>
    </row>
    <row r="6744" spans="1:4" ht="30">
      <c r="A6744" s="5" t="str">
        <f>HYPERLINK("https://www.oit.va.gov/Services/TRM/ToolPage.aspx?tid=8646^","Rainmeter")</f>
        <v>Rainmeter</v>
      </c>
      <c r="B6744" s="4" t="s">
        <v>5467</v>
      </c>
      <c r="C6744" s="8" t="s">
        <v>5</v>
      </c>
      <c r="D6744" s="11" t="s">
        <v>5468</v>
      </c>
    </row>
    <row r="6745" spans="1:4" ht="30">
      <c r="A6745" s="5" t="str">
        <f>HYPERLINK("https://www.oit.va.gov/Services/TRM/ToolPage.aspx?tid=5914^","CodeSite")</f>
        <v>CodeSite</v>
      </c>
      <c r="B6745" s="4" t="s">
        <v>5104</v>
      </c>
      <c r="C6745" s="8" t="s">
        <v>5</v>
      </c>
      <c r="D6745" s="11" t="s">
        <v>1449</v>
      </c>
    </row>
    <row r="6746" spans="1:4" ht="30">
      <c r="A6746" s="5" t="str">
        <f>HYPERLINK("https://www.oit.va.gov/Services/TRM/ToolPage.aspx?tid=14721^","Differential Item Functioning Analysis System (DIFAS)")</f>
        <v>Differential Item Functioning Analysis System (DIFAS)</v>
      </c>
      <c r="B6746" s="4" t="s">
        <v>7762</v>
      </c>
      <c r="C6746" s="8" t="s">
        <v>5</v>
      </c>
      <c r="D6746" s="11" t="s">
        <v>654</v>
      </c>
    </row>
    <row r="6747" spans="1:4" ht="30">
      <c r="A6747" s="5" t="str">
        <f>HYPERLINK("https://www.oit.va.gov/Services/TRM/ToolPage.aspx?tid=15120^","Augury")</f>
        <v>Augury</v>
      </c>
      <c r="B6747" s="4" t="s">
        <v>3152</v>
      </c>
      <c r="C6747" s="8" t="s">
        <v>5</v>
      </c>
      <c r="D6747" s="11" t="s">
        <v>3153</v>
      </c>
    </row>
    <row r="6748" spans="1:4" ht="30">
      <c r="A6748" s="5" t="str">
        <f>HYPERLINK("https://www.oit.va.gov/Services/TRM/ToolPage.aspx?tid=15109^","Ranorex Studio")</f>
        <v>Ranorex Studio</v>
      </c>
      <c r="B6748" s="4" t="s">
        <v>4712</v>
      </c>
      <c r="C6748" s="8" t="s">
        <v>5</v>
      </c>
      <c r="D6748" s="11" t="s">
        <v>240</v>
      </c>
    </row>
    <row r="6749" spans="1:4" ht="30">
      <c r="A6749" s="5" t="str">
        <f>HYPERLINK("https://www.oit.va.gov/Services/TRM/ToolPage.aspx?tid=14830^","Rapid Magnetic Resonance Imaging (MRI)")</f>
        <v>Rapid Magnetic Resonance Imaging (MRI)</v>
      </c>
      <c r="B6749" s="4" t="s">
        <v>6025</v>
      </c>
      <c r="C6749" s="8" t="s">
        <v>5</v>
      </c>
      <c r="D6749" s="11" t="s">
        <v>36</v>
      </c>
    </row>
    <row r="6750" spans="1:4" ht="30">
      <c r="A6750" s="5" t="str">
        <f>HYPERLINK("https://www.oit.va.gov/Services/TRM/ToolPage.aspx?tid=13115^","Visitor Management System")</f>
        <v>Visitor Management System</v>
      </c>
      <c r="B6750" s="4" t="s">
        <v>8887</v>
      </c>
      <c r="C6750" s="8" t="s">
        <v>5</v>
      </c>
      <c r="D6750" s="11" t="s">
        <v>6494</v>
      </c>
    </row>
    <row r="6751" spans="1:4" ht="30">
      <c r="A6751" s="5" t="str">
        <f>HYPERLINK("https://www.oit.va.gov/Services/TRM/ToolPage.aspx?tid=13695^","Raptr")</f>
        <v>Raptr</v>
      </c>
      <c r="B6751" s="4" t="s">
        <v>8531</v>
      </c>
      <c r="C6751" s="8" t="s">
        <v>5</v>
      </c>
      <c r="D6751" s="11" t="s">
        <v>8455</v>
      </c>
    </row>
    <row r="6752" spans="1:4" ht="30">
      <c r="A6752" s="5" t="str">
        <f>HYPERLINK("https://www.oit.va.gov/Services/TRM/ToolPage.aspx?tid=15267^","Gensim")</f>
        <v>Gensim</v>
      </c>
      <c r="B6752" s="4" t="s">
        <v>7974</v>
      </c>
      <c r="C6752" s="8" t="s">
        <v>5</v>
      </c>
      <c r="D6752" s="11" t="s">
        <v>7975</v>
      </c>
    </row>
    <row r="6753" spans="1:4" ht="30">
      <c r="A6753" s="5" t="str">
        <f>HYPERLINK("https://www.oit.va.gov/Services/TRM/ToolPage.aspx?tid=9980^","CommandCenter Secure Gateway")</f>
        <v>CommandCenter Secure Gateway</v>
      </c>
      <c r="B6753" s="4" t="s">
        <v>7681</v>
      </c>
      <c r="C6753" s="8" t="s">
        <v>5</v>
      </c>
      <c r="D6753" s="11" t="s">
        <v>6182</v>
      </c>
    </row>
    <row r="6754" spans="1:4" ht="30">
      <c r="A6754" s="5" t="str">
        <f>HYPERLINK("https://www.oit.va.gov/Services/TRM/ToolPage.aspx?tid=5780^","RAR")</f>
        <v>RAR</v>
      </c>
      <c r="B6754" s="4" t="s">
        <v>825</v>
      </c>
      <c r="C6754" s="8" t="s">
        <v>5</v>
      </c>
      <c r="D6754" s="11" t="s">
        <v>826</v>
      </c>
    </row>
    <row r="6755" spans="1:4" ht="30">
      <c r="A6755" s="5" t="str">
        <f>HYPERLINK("https://www.oit.va.gov/Services/TRM/ToolPage.aspx?tid=9735^","Responder 5")</f>
        <v>Responder 5</v>
      </c>
      <c r="B6755" s="4" t="s">
        <v>1894</v>
      </c>
      <c r="C6755" s="8" t="s">
        <v>5</v>
      </c>
      <c r="D6755" s="11" t="s">
        <v>1895</v>
      </c>
    </row>
    <row r="6756" spans="1:4" ht="30">
      <c r="A6756" s="5" t="str">
        <f>HYPERLINK("https://www.oit.va.gov/Services/TRM/ToolPage.aspx?tid=15823^","Responder Enterprise")</f>
        <v>Responder Enterprise</v>
      </c>
      <c r="B6756" s="4" t="s">
        <v>1894</v>
      </c>
      <c r="C6756" s="8" t="s">
        <v>5</v>
      </c>
      <c r="D6756" s="11" t="s">
        <v>3942</v>
      </c>
    </row>
    <row r="6757" spans="1:4" ht="30">
      <c r="A6757" s="5" t="str">
        <f>HYPERLINK("https://www.oit.va.gov/Services/TRM/ToolPage.aspx?tid=13470^","Responder 5000")</f>
        <v>Responder 5000</v>
      </c>
      <c r="B6757" s="4" t="s">
        <v>1894</v>
      </c>
      <c r="C6757" s="8" t="s">
        <v>5</v>
      </c>
      <c r="D6757" s="11" t="s">
        <v>8568</v>
      </c>
    </row>
    <row r="6758" spans="1:4" ht="30">
      <c r="A6758" s="5" t="str">
        <f>HYPERLINK("https://www.oit.va.gov/Services/TRM/ToolPage.aspx?tid=7252^","PerfectDisk Server")</f>
        <v>PerfectDisk Server</v>
      </c>
      <c r="B6758" s="4" t="s">
        <v>6996</v>
      </c>
      <c r="C6758" s="8" t="s">
        <v>5</v>
      </c>
      <c r="D6758" s="11" t="s">
        <v>6997</v>
      </c>
    </row>
    <row r="6759" spans="1:4" ht="30">
      <c r="A6759" s="5" t="str">
        <f>HYPERLINK("https://www.oit.va.gov/Services/TRM/ToolPage.aspx?tid=15507^","uBlock Origin Browser Extension")</f>
        <v>uBlock Origin Browser Extension</v>
      </c>
      <c r="B6759" s="4" t="s">
        <v>7261</v>
      </c>
      <c r="C6759" s="8" t="s">
        <v>5</v>
      </c>
      <c r="D6759" s="11" t="s">
        <v>6019</v>
      </c>
    </row>
    <row r="6760" spans="1:4" ht="30">
      <c r="A6760" s="5" t="str">
        <f>HYPERLINK("https://www.oit.va.gov/Services/TRM/ToolPage.aspx?tid=11156^","RaySafe i2")</f>
        <v>RaySafe i2</v>
      </c>
      <c r="B6760" s="4" t="s">
        <v>8535</v>
      </c>
      <c r="C6760" s="8" t="s">
        <v>5</v>
      </c>
      <c r="D6760" s="11" t="s">
        <v>8536</v>
      </c>
    </row>
    <row r="6761" spans="1:4" ht="30">
      <c r="A6761" s="5" t="str">
        <f>HYPERLINK("https://www.oit.va.gov/Services/TRM/ToolPage.aspx?tid=16716^","Razer Axon")</f>
        <v>Razer Axon</v>
      </c>
      <c r="B6761" s="4" t="s">
        <v>4713</v>
      </c>
      <c r="C6761" s="8" t="s">
        <v>5</v>
      </c>
      <c r="D6761" s="11" t="s">
        <v>4714</v>
      </c>
    </row>
    <row r="6762" spans="1:4" ht="30">
      <c r="A6762" s="5" t="str">
        <f>HYPERLINK("https://www.oit.va.gov/Services/TRM/ToolPage.aspx?tid=13038^","Razer Synapse")</f>
        <v>Razer Synapse</v>
      </c>
      <c r="B6762" s="4" t="s">
        <v>4713</v>
      </c>
      <c r="C6762" s="8" t="s">
        <v>5</v>
      </c>
      <c r="D6762" s="11" t="s">
        <v>5469</v>
      </c>
    </row>
    <row r="6763" spans="1:4" ht="30">
      <c r="A6763" s="5" t="str">
        <f>HYPERLINK("https://www.oit.va.gov/Services/TRM/ToolPage.aspx?tid=16264^","Security Assertion Markup Language (SAML), Web Services (WS)-Federation and OAuth Extension")</f>
        <v>Security Assertion Markup Language (SAML), Web Services (WS)-Federation and OAuth Extension</v>
      </c>
      <c r="B6763" s="4" t="s">
        <v>5500</v>
      </c>
      <c r="C6763" s="8" t="s">
        <v>5</v>
      </c>
      <c r="D6763" s="11" t="s">
        <v>4745</v>
      </c>
    </row>
    <row r="6764" spans="1:4" ht="30">
      <c r="A6764" s="5" t="str">
        <f>HYPERLINK("https://www.oit.va.gov/Services/TRM/ToolPage.aspx?tid=15867^","Rclone")</f>
        <v>Rclone</v>
      </c>
      <c r="B6764" s="4" t="s">
        <v>6027</v>
      </c>
      <c r="C6764" s="8" t="s">
        <v>5</v>
      </c>
      <c r="D6764" s="11" t="s">
        <v>6028</v>
      </c>
    </row>
    <row r="6765" spans="1:4" ht="30">
      <c r="A6765" s="5" t="str">
        <f>HYPERLINK("https://www.oit.va.gov/Services/TRM/ToolPage.aspx?tid=10564^","Proficio")</f>
        <v>Proficio</v>
      </c>
      <c r="B6765" s="4" t="s">
        <v>2876</v>
      </c>
      <c r="C6765" s="8" t="s">
        <v>5</v>
      </c>
      <c r="D6765" s="11" t="s">
        <v>2877</v>
      </c>
    </row>
    <row r="6766" spans="1:4" ht="30">
      <c r="A6766" s="5" t="str">
        <f>HYPERLINK("https://www.oit.va.gov/Services/TRM/ToolPage.aspx?tid=8942^","Reactive Extensions for JavaScript (RxJS)")</f>
        <v>Reactive Extensions for JavaScript (RxJS)</v>
      </c>
      <c r="B6766" s="4" t="s">
        <v>4717</v>
      </c>
      <c r="C6766" s="8" t="s">
        <v>5</v>
      </c>
      <c r="D6766" s="11" t="s">
        <v>4718</v>
      </c>
    </row>
    <row r="6767" spans="1:4" ht="30">
      <c r="A6767" s="5" t="str">
        <f>HYPERLINK("https://www.oit.va.gov/Services/TRM/ToolPage.aspx?tid=15299^","PDF Expert")</f>
        <v>PDF Expert</v>
      </c>
      <c r="B6767" s="4" t="s">
        <v>2839</v>
      </c>
      <c r="C6767" s="8" t="s">
        <v>5</v>
      </c>
      <c r="D6767" s="11" t="s">
        <v>2840</v>
      </c>
    </row>
    <row r="6768" spans="1:4" ht="30">
      <c r="A6768" s="5" t="str">
        <f>HYPERLINK("https://www.oit.va.gov/Services/TRM/ToolPage.aspx?tid=15376^","Wellbase")</f>
        <v>Wellbase</v>
      </c>
      <c r="B6768" s="4" t="s">
        <v>2056</v>
      </c>
      <c r="C6768" s="8" t="s">
        <v>5</v>
      </c>
      <c r="D6768" s="11" t="s">
        <v>1255</v>
      </c>
    </row>
    <row r="6769" spans="1:4" ht="30">
      <c r="A6769" s="5" t="str">
        <f>HYPERLINK("https://www.oit.va.gov/Services/TRM/ToolPage.aspx?tid=14984^","Channels")</f>
        <v>Channels</v>
      </c>
      <c r="B6769" s="4" t="s">
        <v>2056</v>
      </c>
      <c r="C6769" s="8" t="s">
        <v>5</v>
      </c>
      <c r="D6769" s="11" t="s">
        <v>1703</v>
      </c>
    </row>
    <row r="6770" spans="1:4" ht="30">
      <c r="A6770" s="5" t="str">
        <f>HYPERLINK("https://www.oit.va.gov/Services/TRM/ToolPage.aspx?tid=15444^","Box Drive")</f>
        <v>Box Drive</v>
      </c>
      <c r="B6770" s="4" t="s">
        <v>2056</v>
      </c>
      <c r="C6770" s="8" t="s">
        <v>5</v>
      </c>
      <c r="D6770" s="11" t="s">
        <v>3856</v>
      </c>
    </row>
    <row r="6771" spans="1:4" ht="30">
      <c r="A6771" s="5" t="str">
        <f>HYPERLINK("https://www.oit.va.gov/Services/TRM/ToolPage.aspx?tid=11651^","Portable Document Format Reactor (PDFreactor)")</f>
        <v>Portable Document Format Reactor (PDFreactor)</v>
      </c>
      <c r="B6771" s="4" t="s">
        <v>2870</v>
      </c>
      <c r="C6771" s="8" t="s">
        <v>5</v>
      </c>
      <c r="D6771" s="11" t="s">
        <v>2871</v>
      </c>
    </row>
    <row r="6772" spans="1:4" ht="30">
      <c r="A6772" s="5" t="str">
        <f>HYPERLINK("https://www.oit.va.gov/Services/TRM/ToolPage.aspx?tid=10174^","7Edit")</f>
        <v>7Edit</v>
      </c>
      <c r="B6772" s="4" t="s">
        <v>2340</v>
      </c>
      <c r="C6772" s="8" t="s">
        <v>5</v>
      </c>
      <c r="D6772" s="11" t="s">
        <v>2341</v>
      </c>
    </row>
    <row r="6773" spans="1:4" ht="30">
      <c r="A6773" s="5" t="str">
        <f>HYPERLINK("https://www.oit.va.gov/Services/TRM/ToolPage.aspx?tid=10531^","E-Transcript Bundle Viewer")</f>
        <v>E-Transcript Bundle Viewer</v>
      </c>
      <c r="B6773" s="4" t="s">
        <v>7877</v>
      </c>
      <c r="C6773" s="8" t="s">
        <v>5</v>
      </c>
      <c r="D6773" s="11" t="s">
        <v>637</v>
      </c>
    </row>
    <row r="6774" spans="1:4" ht="30">
      <c r="A6774" s="5" t="str">
        <f>HYPERLINK("https://www.oit.va.gov/Services/TRM/ToolPage.aspx?tid=7422^","CrazyTalk")</f>
        <v>CrazyTalk</v>
      </c>
      <c r="B6774" s="4" t="s">
        <v>6181</v>
      </c>
      <c r="C6774" s="8" t="s">
        <v>5</v>
      </c>
      <c r="D6774" s="11" t="s">
        <v>6182</v>
      </c>
    </row>
    <row r="6775" spans="1:4" ht="30">
      <c r="A6775" s="5" t="str">
        <f>HYPERLINK("https://www.oit.va.gov/Services/TRM/ToolPage.aspx?tid=5708^","RealPlayer")</f>
        <v>RealPlayer</v>
      </c>
      <c r="B6775" s="4" t="s">
        <v>7070</v>
      </c>
      <c r="C6775" s="8" t="s">
        <v>5</v>
      </c>
      <c r="D6775" s="11" t="s">
        <v>4662</v>
      </c>
    </row>
    <row r="6776" spans="1:4" ht="30">
      <c r="A6776" s="5" t="str">
        <f>HYPERLINK("https://www.oit.va.gov/Services/TRM/ToolPage.aspx?tid=13111^","RealJukebox")</f>
        <v>RealJukebox</v>
      </c>
      <c r="B6776" s="4" t="s">
        <v>7070</v>
      </c>
      <c r="C6776" s="8" t="s">
        <v>5</v>
      </c>
      <c r="D6776" s="11" t="s">
        <v>7810</v>
      </c>
    </row>
    <row r="6777" spans="1:4" ht="30">
      <c r="A6777" s="5" t="str">
        <f>HYPERLINK("https://www.oit.va.gov/Services/TRM/ToolPage.aspx?tid=6120^","RealUpgrade")</f>
        <v>RealUpgrade</v>
      </c>
      <c r="B6777" s="4" t="s">
        <v>7070</v>
      </c>
      <c r="C6777" s="8" t="s">
        <v>5</v>
      </c>
      <c r="D6777" s="11" t="s">
        <v>8540</v>
      </c>
    </row>
    <row r="6778" spans="1:4" ht="30">
      <c r="A6778" s="5" t="str">
        <f>HYPERLINK("https://www.oit.va.gov/Services/TRM/ToolPage.aspx?tid=14621^","Real Statistics Resource Pack")</f>
        <v>Real Statistics Resource Pack</v>
      </c>
      <c r="B6778" s="4" t="s">
        <v>7069</v>
      </c>
      <c r="C6778" s="8" t="s">
        <v>5</v>
      </c>
      <c r="D6778" s="11" t="s">
        <v>2175</v>
      </c>
    </row>
    <row r="6779" spans="1:4" ht="30">
      <c r="A6779" s="5" t="str">
        <f>HYPERLINK("https://www.oit.va.gov/Services/TRM/ToolPage.aspx?tid=6166^","UltraMon")</f>
        <v>UltraMon</v>
      </c>
      <c r="B6779" s="4" t="s">
        <v>5560</v>
      </c>
      <c r="C6779" s="8" t="s">
        <v>5</v>
      </c>
      <c r="D6779" s="11" t="s">
        <v>2024</v>
      </c>
    </row>
    <row r="6780" spans="1:4" ht="30">
      <c r="A6780" s="5" t="str">
        <f>HYPERLINK("https://www.oit.va.gov/Services/TRM/ToolPage.aspx?tid=6173^","Virtual Network Computing (VNC) Connect")</f>
        <v>Virtual Network Computing (VNC) Connect</v>
      </c>
      <c r="B6780" s="4" t="s">
        <v>3615</v>
      </c>
      <c r="C6780" s="8" t="s">
        <v>5</v>
      </c>
      <c r="D6780" s="11" t="s">
        <v>3616</v>
      </c>
    </row>
    <row r="6781" spans="1:4" ht="30">
      <c r="A6781" s="5" t="str">
        <f>HYPERLINK("https://www.oit.va.gov/Services/TRM/ToolPage.aspx?tid=15261^","Xpress")</f>
        <v>Xpress</v>
      </c>
      <c r="B6781" s="4" t="s">
        <v>6172</v>
      </c>
      <c r="C6781" s="8" t="s">
        <v>5</v>
      </c>
      <c r="D6781" s="11" t="s">
        <v>5006</v>
      </c>
    </row>
    <row r="6782" spans="1:4" ht="30">
      <c r="A6782" s="5" t="str">
        <f>HYPERLINK("https://www.oit.va.gov/Services/TRM/ToolPage.aspx?tid=13881^","REDCINE-X PRO")</f>
        <v>REDCINE-X PRO</v>
      </c>
      <c r="B6782" s="4" t="s">
        <v>4725</v>
      </c>
      <c r="C6782" s="8" t="s">
        <v>5</v>
      </c>
      <c r="D6782" s="11" t="s">
        <v>4726</v>
      </c>
    </row>
    <row r="6783" spans="1:4" ht="30">
      <c r="A6783" s="5" t="str">
        <f>HYPERLINK("https://www.oit.va.gov/Services/TRM/ToolPage.aspx?tid=7013^","SQL Source Control")</f>
        <v>SQL Source Control</v>
      </c>
      <c r="B6783" s="4" t="s">
        <v>2987</v>
      </c>
      <c r="C6783" s="8" t="s">
        <v>5</v>
      </c>
      <c r="D6783" s="11" t="s">
        <v>980</v>
      </c>
    </row>
    <row r="6784" spans="1:4" ht="30">
      <c r="A6784" s="5" t="str">
        <f>HYPERLINK("https://www.oit.va.gov/Services/TRM/ToolPage.aspx?tid=11212^","Structured Query Language (SQL) Data Generator")</f>
        <v>Structured Query Language (SQL) Data Generator</v>
      </c>
      <c r="B6784" s="4" t="s">
        <v>2987</v>
      </c>
      <c r="C6784" s="8" t="s">
        <v>5</v>
      </c>
      <c r="D6784" s="11" t="s">
        <v>861</v>
      </c>
    </row>
    <row r="6785" spans="1:4" ht="30">
      <c r="A6785" s="5" t="str">
        <f>HYPERLINK("https://www.oit.va.gov/Services/TRM/ToolPage.aspx?tid=11230^","Structured Query Language (SQL) Doc")</f>
        <v>Structured Query Language (SQL) Doc</v>
      </c>
      <c r="B6785" s="4" t="s">
        <v>2987</v>
      </c>
      <c r="C6785" s="8" t="s">
        <v>5</v>
      </c>
      <c r="D6785" s="11" t="s">
        <v>2997</v>
      </c>
    </row>
    <row r="6786" spans="1:4" ht="30">
      <c r="A6786" s="5" t="str">
        <f>HYPERLINK("https://www.oit.va.gov/Services/TRM/ToolPage.aspx?tid=7012^","Structured Query Language (SQL) Search")</f>
        <v>Structured Query Language (SQL) Search</v>
      </c>
      <c r="B6786" s="4" t="s">
        <v>2987</v>
      </c>
      <c r="C6786" s="8" t="s">
        <v>5</v>
      </c>
      <c r="D6786" s="11" t="s">
        <v>2999</v>
      </c>
    </row>
    <row r="6787" spans="1:4" ht="30">
      <c r="A6787" s="5" t="str">
        <f>HYPERLINK("https://www.oit.va.gov/Services/TRM/ToolPage.aspx?tid=11193^","ReadyRoll")</f>
        <v>ReadyRoll</v>
      </c>
      <c r="B6787" s="4" t="s">
        <v>2987</v>
      </c>
      <c r="C6787" s="8" t="s">
        <v>5</v>
      </c>
      <c r="D6787" s="11" t="s">
        <v>3480</v>
      </c>
    </row>
    <row r="6788" spans="1:4" ht="30">
      <c r="A6788" s="5" t="str">
        <f>HYPERLINK("https://www.oit.va.gov/Services/TRM/ToolPage.aspx?tid=7008^","Structured Query Language (SQL) Backup Pro")</f>
        <v>Structured Query Language (SQL) Backup Pro</v>
      </c>
      <c r="B6788" s="4" t="s">
        <v>2987</v>
      </c>
      <c r="C6788" s="8" t="s">
        <v>5</v>
      </c>
      <c r="D6788" s="11" t="s">
        <v>3561</v>
      </c>
    </row>
    <row r="6789" spans="1:4" ht="30">
      <c r="A6789" s="5" t="str">
        <f>HYPERLINK("https://www.oit.va.gov/Services/TRM/ToolPage.aspx?tid=10238^","Flyway")</f>
        <v>Flyway</v>
      </c>
      <c r="B6789" s="4" t="s">
        <v>2987</v>
      </c>
      <c r="C6789" s="8" t="s">
        <v>5</v>
      </c>
      <c r="D6789" s="11" t="s">
        <v>1566</v>
      </c>
    </row>
    <row r="6790" spans="1:4" ht="30">
      <c r="A6790" s="5" t="str">
        <f>HYPERLINK("https://www.oit.va.gov/Services/TRM/ToolPage.aspx?tid=16435^","RedGate Structured Query Language (SQL) Monitor")</f>
        <v>RedGate Structured Query Language (SQL) Monitor</v>
      </c>
      <c r="B6790" s="4" t="s">
        <v>2987</v>
      </c>
      <c r="C6790" s="8" t="s">
        <v>5</v>
      </c>
      <c r="D6790" s="11" t="s">
        <v>4727</v>
      </c>
    </row>
    <row r="6791" spans="1:4" ht="30">
      <c r="A6791" s="5" t="str">
        <f>HYPERLINK("https://www.oit.va.gov/Services/TRM/ToolPage.aspx?tid=11164^","Structured Query Language (SQL) Change Automation")</f>
        <v>Structured Query Language (SQL) Change Automation</v>
      </c>
      <c r="B6791" s="4" t="s">
        <v>2987</v>
      </c>
      <c r="C6791" s="8" t="s">
        <v>5</v>
      </c>
      <c r="D6791" s="11" t="s">
        <v>5530</v>
      </c>
    </row>
    <row r="6792" spans="1:4" ht="30">
      <c r="A6792" s="5" t="str">
        <f>HYPERLINK("https://www.oit.va.gov/Services/TRM/ToolPage.aspx?tid=7010^","Structured Query Language (SQL) Monitor")</f>
        <v>Structured Query Language (SQL) Monitor</v>
      </c>
      <c r="B6792" s="4" t="s">
        <v>2987</v>
      </c>
      <c r="C6792" s="8" t="s">
        <v>5</v>
      </c>
      <c r="D6792" s="11" t="s">
        <v>3546</v>
      </c>
    </row>
    <row r="6793" spans="1:4" ht="30">
      <c r="A6793" s="5" t="str">
        <f>HYPERLINK("https://www.oit.va.gov/Services/TRM/ToolPage.aspx?tid=11163^","Database Lifecycle Management (DLM) Dashboard")</f>
        <v>Database Lifecycle Management (DLM) Dashboard</v>
      </c>
      <c r="B6793" s="4" t="s">
        <v>2987</v>
      </c>
      <c r="C6793" s="8" t="s">
        <v>5</v>
      </c>
      <c r="D6793" s="11" t="s">
        <v>6480</v>
      </c>
    </row>
    <row r="6794" spans="1:4" ht="30">
      <c r="A6794" s="5" t="str">
        <f>HYPERLINK("https://www.oit.va.gov/Services/TRM/ToolPage.aspx?tid=11202^","Structured Query Language (SQL) Comparison Software Development Kit (SDK)")</f>
        <v>Structured Query Language (SQL) Comparison Software Development Kit (SDK)</v>
      </c>
      <c r="B6794" s="4" t="s">
        <v>2987</v>
      </c>
      <c r="C6794" s="8" t="s">
        <v>5</v>
      </c>
      <c r="D6794" s="11" t="s">
        <v>5530</v>
      </c>
    </row>
    <row r="6795" spans="1:4" ht="30">
      <c r="A6795" s="5" t="str">
        <f>HYPERLINK("https://www.oit.va.gov/Services/TRM/ToolPage.aspx?tid=14381^","Red Giant Magic Bullet Colorista")</f>
        <v>Red Giant Magic Bullet Colorista</v>
      </c>
      <c r="B6795" s="4" t="s">
        <v>4721</v>
      </c>
      <c r="C6795" s="8" t="s">
        <v>5</v>
      </c>
      <c r="D6795" s="11" t="s">
        <v>4573</v>
      </c>
    </row>
    <row r="6796" spans="1:4" ht="30">
      <c r="A6796" s="5" t="str">
        <f>HYPERLINK("https://www.oit.va.gov/Services/TRM/ToolPage.aspx?tid=14455^","Red Giant Magic Bullet Cosmo")</f>
        <v>Red Giant Magic Bullet Cosmo</v>
      </c>
      <c r="B6796" s="4" t="s">
        <v>4721</v>
      </c>
      <c r="C6796" s="8" t="s">
        <v>5</v>
      </c>
      <c r="D6796" s="11" t="s">
        <v>4722</v>
      </c>
    </row>
    <row r="6797" spans="1:4" ht="30">
      <c r="A6797" s="5" t="str">
        <f>HYPERLINK("https://www.oit.va.gov/Services/TRM/ToolPage.aspx?tid=14415^","Red Giant Magic Bullet Denoiser")</f>
        <v>Red Giant Magic Bullet Denoiser</v>
      </c>
      <c r="B6797" s="4" t="s">
        <v>4721</v>
      </c>
      <c r="C6797" s="8" t="s">
        <v>5</v>
      </c>
      <c r="D6797" s="11" t="s">
        <v>4722</v>
      </c>
    </row>
    <row r="6798" spans="1:4" ht="30">
      <c r="A6798" s="5" t="str">
        <f>HYPERLINK("https://www.oit.va.gov/Services/TRM/ToolPage.aspx?tid=14379^","Red Giant Magic Bullet Film")</f>
        <v>Red Giant Magic Bullet Film</v>
      </c>
      <c r="B6798" s="4" t="s">
        <v>4721</v>
      </c>
      <c r="C6798" s="8" t="s">
        <v>5</v>
      </c>
      <c r="D6798" s="11" t="s">
        <v>7071</v>
      </c>
    </row>
    <row r="6799" spans="1:4" ht="30">
      <c r="A6799" s="5" t="str">
        <f>HYPERLINK("https://www.oit.va.gov/Services/TRM/ToolPage.aspx?tid=14417^","Red Giant Magic Bullet Looks")</f>
        <v>Red Giant Magic Bullet Looks</v>
      </c>
      <c r="B6799" s="4" t="s">
        <v>4721</v>
      </c>
      <c r="C6799" s="8" t="s">
        <v>5</v>
      </c>
      <c r="D6799" s="11" t="s">
        <v>7072</v>
      </c>
    </row>
    <row r="6800" spans="1:4" ht="30">
      <c r="A6800" s="5" t="str">
        <f>HYPERLINK("https://www.oit.va.gov/Services/TRM/ToolPage.aspx?tid=14418^","Red Giant Magic Bullet Mojo")</f>
        <v>Red Giant Magic Bullet Mojo</v>
      </c>
      <c r="B6800" s="4" t="s">
        <v>4721</v>
      </c>
      <c r="C6800" s="8" t="s">
        <v>5</v>
      </c>
      <c r="D6800" s="11" t="s">
        <v>7072</v>
      </c>
    </row>
    <row r="6801" spans="1:4" ht="30">
      <c r="A6801" s="5" t="str">
        <f>HYPERLINK("https://www.oit.va.gov/Services/TRM/ToolPage.aspx?tid=14419^","Red Giant Magic Bullet Renoiser")</f>
        <v>Red Giant Magic Bullet Renoiser</v>
      </c>
      <c r="B6801" s="4" t="s">
        <v>4721</v>
      </c>
      <c r="C6801" s="8" t="s">
        <v>5</v>
      </c>
      <c r="D6801" s="11" t="s">
        <v>4760</v>
      </c>
    </row>
    <row r="6802" spans="1:4" ht="30">
      <c r="A6802" s="5" t="str">
        <f>HYPERLINK("https://www.oit.va.gov/Services/TRM/ToolPage.aspx?tid=5002^","Java Business Process Management (jBPM)")</f>
        <v>Java Business Process Management (jBPM)</v>
      </c>
      <c r="B6802" s="4" t="s">
        <v>725</v>
      </c>
      <c r="C6802" s="8" t="s">
        <v>5</v>
      </c>
      <c r="D6802" s="11" t="s">
        <v>726</v>
      </c>
    </row>
    <row r="6803" spans="1:4" ht="30">
      <c r="A6803" s="5" t="str">
        <f>HYPERLINK("https://www.oit.va.gov/Services/TRM/ToolPage.aspx?tid=6705^","JBoss Enterprise Application Platform (EAP)")</f>
        <v>JBoss Enterprise Application Platform (EAP)</v>
      </c>
      <c r="B6803" s="4" t="s">
        <v>725</v>
      </c>
      <c r="C6803" s="8" t="s">
        <v>5</v>
      </c>
      <c r="D6803" s="11" t="s">
        <v>729</v>
      </c>
    </row>
    <row r="6804" spans="1:4" ht="30">
      <c r="A6804" s="5" t="str">
        <f>HYPERLINK("https://www.oit.va.gov/Services/TRM/ToolPage.aspx?tid=6447^","Cygwin")</f>
        <v>Cygwin</v>
      </c>
      <c r="B6804" s="4" t="s">
        <v>725</v>
      </c>
      <c r="C6804" s="8" t="s">
        <v>5</v>
      </c>
      <c r="D6804" s="11" t="s">
        <v>1476</v>
      </c>
    </row>
    <row r="6805" spans="1:4" ht="30">
      <c r="A6805" s="5" t="str">
        <f>HYPERLINK("https://www.oit.va.gov/Services/TRM/ToolPage.aspx?tid=16475^","Red Hat 3scale Application Programming Interface (API) Management")</f>
        <v>Red Hat 3scale Application Programming Interface (API) Management</v>
      </c>
      <c r="B6805" s="4" t="s">
        <v>725</v>
      </c>
      <c r="C6805" s="8" t="s">
        <v>5</v>
      </c>
      <c r="D6805" s="11" t="s">
        <v>299</v>
      </c>
    </row>
    <row r="6806" spans="1:4" ht="30">
      <c r="A6806" s="5" t="str">
        <f>HYPERLINK("https://www.oit.va.gov/Services/TRM/ToolPage.aspx?tid=16465^","Red Hat AMQ")</f>
        <v>Red Hat AMQ</v>
      </c>
      <c r="B6806" s="4" t="s">
        <v>725</v>
      </c>
      <c r="C6806" s="8" t="s">
        <v>5</v>
      </c>
      <c r="D6806" s="11" t="s">
        <v>1887</v>
      </c>
    </row>
    <row r="6807" spans="1:4" ht="30">
      <c r="A6807" s="5" t="str">
        <f>HYPERLINK("https://www.oit.va.gov/Services/TRM/ToolPage.aspx?tid=6367^","Red Hat Enterprise Linux (RHEL)")</f>
        <v>Red Hat Enterprise Linux (RHEL)</v>
      </c>
      <c r="B6807" s="4" t="s">
        <v>725</v>
      </c>
      <c r="C6807" s="8" t="s">
        <v>5</v>
      </c>
      <c r="D6807" s="11" t="s">
        <v>1888</v>
      </c>
    </row>
    <row r="6808" spans="1:4" ht="30">
      <c r="A6808" s="5" t="str">
        <f>HYPERLINK("https://www.oit.va.gov/Services/TRM/ToolPage.aspx?tid=7339^","Red Hat Fuse")</f>
        <v>Red Hat Fuse</v>
      </c>
      <c r="B6808" s="4" t="s">
        <v>725</v>
      </c>
      <c r="C6808" s="8" t="s">
        <v>5</v>
      </c>
      <c r="D6808" s="11" t="s">
        <v>1889</v>
      </c>
    </row>
    <row r="6809" spans="1:4" ht="30">
      <c r="A6809" s="5" t="str">
        <f>HYPERLINK("https://www.oit.va.gov/Services/TRM/ToolPage.aspx?tid=7030^","Red Hat Satellite and Proxy")</f>
        <v>Red Hat Satellite and Proxy</v>
      </c>
      <c r="B6809" s="4" t="s">
        <v>725</v>
      </c>
      <c r="C6809" s="8" t="s">
        <v>5</v>
      </c>
      <c r="D6809" s="11" t="s">
        <v>1890</v>
      </c>
    </row>
    <row r="6810" spans="1:4" ht="30">
      <c r="A6810" s="5" t="str">
        <f>HYPERLINK("https://www.oit.va.gov/Services/TRM/ToolPage.aspx?tid=11115^","Ansible Tower")</f>
        <v>Ansible Tower</v>
      </c>
      <c r="B6810" s="4" t="s">
        <v>725</v>
      </c>
      <c r="C6810" s="8" t="s">
        <v>5</v>
      </c>
      <c r="D6810" s="11" t="s">
        <v>2086</v>
      </c>
    </row>
    <row r="6811" spans="1:4" ht="30">
      <c r="A6811" s="5" t="str">
        <f>HYPERLINK("https://www.oit.va.gov/Services/TRM/ToolPage.aspx?tid=10160^","OpenSCAP")</f>
        <v>OpenSCAP</v>
      </c>
      <c r="B6811" s="4" t="s">
        <v>725</v>
      </c>
      <c r="C6811" s="8" t="s">
        <v>5</v>
      </c>
      <c r="D6811" s="11" t="s">
        <v>2163</v>
      </c>
    </row>
    <row r="6812" spans="1:4" ht="30">
      <c r="A6812" s="5" t="str">
        <f>HYPERLINK("https://www.oit.va.gov/Services/TRM/ToolPage.aspx?tid=6552^","Red Hat Enterprise Virtualization (Servers)")</f>
        <v>Red Hat Enterprise Virtualization (Servers)</v>
      </c>
      <c r="B6812" s="4" t="s">
        <v>725</v>
      </c>
      <c r="C6812" s="8" t="s">
        <v>5</v>
      </c>
      <c r="D6812" s="11" t="s">
        <v>2178</v>
      </c>
    </row>
    <row r="6813" spans="1:4" ht="30">
      <c r="A6813" s="5" t="str">
        <f>HYPERLINK("https://www.oit.va.gov/Services/TRM/ToolPage.aspx?tid=15329^","OpenCluster Command Line Interface (CLI)")</f>
        <v>OpenCluster Command Line Interface (CLI)</v>
      </c>
      <c r="B6813" s="4" t="s">
        <v>725</v>
      </c>
      <c r="C6813" s="8" t="s">
        <v>5</v>
      </c>
      <c r="D6813" s="11" t="s">
        <v>2792</v>
      </c>
    </row>
    <row r="6814" spans="1:4" ht="30">
      <c r="A6814" s="5" t="str">
        <f>HYPERLINK("https://www.oit.va.gov/Services/TRM/ToolPage.aspx?tid=7336^","OpenShift Container Platform")</f>
        <v>OpenShift Container Platform</v>
      </c>
      <c r="B6814" s="4" t="s">
        <v>725</v>
      </c>
      <c r="C6814" s="8" t="s">
        <v>5</v>
      </c>
      <c r="D6814" s="11" t="s">
        <v>2828</v>
      </c>
    </row>
    <row r="6815" spans="1:4" ht="30">
      <c r="A6815" s="5" t="str">
        <f>HYPERLINK("https://www.oit.va.gov/Services/TRM/ToolPage.aspx?tid=7335^","CloudForms")</f>
        <v>CloudForms</v>
      </c>
      <c r="B6815" s="4" t="s">
        <v>725</v>
      </c>
      <c r="C6815" s="8" t="s">
        <v>5</v>
      </c>
      <c r="D6815" s="11" t="s">
        <v>1745</v>
      </c>
    </row>
    <row r="6816" spans="1:4" ht="30">
      <c r="A6816" s="5" t="str">
        <f>HYPERLINK("https://www.oit.va.gov/Services/TRM/ToolPage.aspx?tid=8914^","Red Hat Process Automation Manager")</f>
        <v>Red Hat Process Automation Manager</v>
      </c>
      <c r="B6816" s="4" t="s">
        <v>725</v>
      </c>
      <c r="C6816" s="8" t="s">
        <v>5</v>
      </c>
      <c r="D6816" s="11" t="s">
        <v>2143</v>
      </c>
    </row>
    <row r="6817" spans="1:4" ht="30">
      <c r="A6817" s="5" t="str">
        <f>HYPERLINK("https://www.oit.va.gov/Services/TRM/ToolPage.aspx?tid=16193^","Ansible Automation Platform (AAP)")</f>
        <v>Ansible Automation Platform (AAP)</v>
      </c>
      <c r="B6817" s="4" t="s">
        <v>725</v>
      </c>
      <c r="C6817" s="8" t="s">
        <v>5</v>
      </c>
      <c r="D6817" s="11" t="s">
        <v>3747</v>
      </c>
    </row>
    <row r="6818" spans="1:4" ht="30">
      <c r="A6818" s="5" t="str">
        <f>HYPERLINK("https://www.oit.va.gov/Services/TRM/ToolPage.aspx?tid=16301^","Cygwin/X")</f>
        <v>Cygwin/X</v>
      </c>
      <c r="B6818" s="4" t="s">
        <v>725</v>
      </c>
      <c r="C6818" s="8" t="s">
        <v>5</v>
      </c>
      <c r="D6818" s="11" t="s">
        <v>3872</v>
      </c>
    </row>
    <row r="6819" spans="1:4" ht="30">
      <c r="A6819" s="5" t="str">
        <f>HYPERLINK("https://www.oit.va.gov/Services/TRM/ToolPage.aspx?tid=14884^","Red Hat build of Open Java Development Kit (OpenJDK)")</f>
        <v>Red Hat build of Open Java Development Kit (OpenJDK)</v>
      </c>
      <c r="B6819" s="4" t="s">
        <v>725</v>
      </c>
      <c r="C6819" s="8" t="s">
        <v>5</v>
      </c>
      <c r="D6819" s="11" t="s">
        <v>2910</v>
      </c>
    </row>
    <row r="6820" spans="1:4" ht="30">
      <c r="A6820" s="5" t="str">
        <f>HYPERLINK("https://www.oit.va.gov/Services/TRM/ToolPage.aspx?tid=15519^","Red Hat Directory Server")</f>
        <v>Red Hat Directory Server</v>
      </c>
      <c r="B6820" s="4" t="s">
        <v>725</v>
      </c>
      <c r="C6820" s="8" t="s">
        <v>5</v>
      </c>
      <c r="D6820" s="11" t="s">
        <v>4723</v>
      </c>
    </row>
    <row r="6821" spans="1:4" ht="30">
      <c r="A6821" s="5" t="str">
        <f>HYPERLINK("https://www.oit.va.gov/Services/TRM/ToolPage.aspx?tid=16458^","Red Hat OpenShift Data Science (RHODS)")</f>
        <v>Red Hat OpenShift Data Science (RHODS)</v>
      </c>
      <c r="B6821" s="4" t="s">
        <v>725</v>
      </c>
      <c r="C6821" s="8" t="s">
        <v>5</v>
      </c>
      <c r="D6821" s="11" t="s">
        <v>2804</v>
      </c>
    </row>
    <row r="6822" spans="1:4" ht="30">
      <c r="A6822" s="5" t="str">
        <f>HYPERLINK("https://www.oit.va.gov/Services/TRM/ToolPage.aspx?tid=11653^","Red Hat Quay")</f>
        <v>Red Hat Quay</v>
      </c>
      <c r="B6822" s="4" t="s">
        <v>725</v>
      </c>
      <c r="C6822" s="8" t="s">
        <v>5</v>
      </c>
      <c r="D6822" s="11" t="s">
        <v>4724</v>
      </c>
    </row>
    <row r="6823" spans="1:4" ht="30">
      <c r="A6823" s="5" t="str">
        <f>HYPERLINK("https://www.oit.va.gov/Services/TRM/ToolPage.aspx?tid=16825^","Undertow")</f>
        <v>Undertow</v>
      </c>
      <c r="B6823" s="4" t="s">
        <v>725</v>
      </c>
      <c r="C6823" s="8" t="s">
        <v>5</v>
      </c>
      <c r="D6823" s="11" t="s">
        <v>1956</v>
      </c>
    </row>
    <row r="6824" spans="1:4" ht="30">
      <c r="A6824" s="5" t="str">
        <f>HYPERLINK("https://www.oit.va.gov/Services/TRM/ToolPage.aspx?tid=240^","WildFly")</f>
        <v>WildFly</v>
      </c>
      <c r="B6824" s="4" t="s">
        <v>725</v>
      </c>
      <c r="C6824" s="8" t="s">
        <v>5</v>
      </c>
      <c r="D6824" s="11" t="s">
        <v>3476</v>
      </c>
    </row>
    <row r="6825" spans="1:4" ht="30">
      <c r="A6825" s="5" t="str">
        <f>HYPERLINK("https://www.oit.va.gov/Services/TRM/ToolPage.aspx?tid=10020^","Gluster File System (GlusterFS)")</f>
        <v>Gluster File System (GlusterFS)</v>
      </c>
      <c r="B6825" s="4" t="s">
        <v>725</v>
      </c>
      <c r="C6825" s="8" t="s">
        <v>5</v>
      </c>
      <c r="D6825" s="11" t="s">
        <v>5217</v>
      </c>
    </row>
    <row r="6826" spans="1:4" ht="30">
      <c r="A6826" s="5" t="str">
        <f>HYPERLINK("https://www.oit.va.gov/Services/TRM/ToolPage.aspx?tid=13965^","Red Hat Developer Toolset")</f>
        <v>Red Hat Developer Toolset</v>
      </c>
      <c r="B6826" s="4" t="s">
        <v>725</v>
      </c>
      <c r="C6826" s="8" t="s">
        <v>5</v>
      </c>
      <c r="D6826" s="11" t="s">
        <v>5470</v>
      </c>
    </row>
    <row r="6827" spans="1:4" ht="30">
      <c r="A6827" s="5" t="str">
        <f>HYPERLINK("https://www.oit.va.gov/Services/TRM/ToolPage.aspx?tid=8222^","Fedora Linux")</f>
        <v>Fedora Linux</v>
      </c>
      <c r="B6827" s="4" t="s">
        <v>725</v>
      </c>
      <c r="C6827" s="8" t="s">
        <v>5</v>
      </c>
      <c r="D6827" s="11" t="s">
        <v>1157</v>
      </c>
    </row>
    <row r="6828" spans="1:4" ht="30">
      <c r="A6828" s="5" t="str">
        <f>HYPERLINK("https://www.oit.va.gov/Services/TRM/ToolPage.aspx?tid=6927^","Spacewalk")</f>
        <v>Spacewalk</v>
      </c>
      <c r="B6828" s="4" t="s">
        <v>725</v>
      </c>
      <c r="C6828" s="8" t="s">
        <v>5</v>
      </c>
      <c r="D6828" s="11" t="s">
        <v>6174</v>
      </c>
    </row>
    <row r="6829" spans="1:4" ht="30">
      <c r="A6829" s="5" t="str">
        <f>HYPERLINK("https://www.oit.va.gov/Services/TRM/ToolPage.aspx?tid=6259^","Hibernate Tools")</f>
        <v>Hibernate Tools</v>
      </c>
      <c r="B6829" s="4" t="s">
        <v>725</v>
      </c>
      <c r="C6829" s="8" t="s">
        <v>5</v>
      </c>
      <c r="D6829" s="11" t="s">
        <v>8028</v>
      </c>
    </row>
    <row r="6830" spans="1:4" ht="30">
      <c r="A6830" s="5" t="str">
        <f>HYPERLINK("https://www.oit.va.gov/Services/TRM/ToolPage.aspx?tid=7401^","Red Hat Decision Manager")</f>
        <v>Red Hat Decision Manager</v>
      </c>
      <c r="B6830" s="4" t="s">
        <v>725</v>
      </c>
      <c r="C6830" s="8" t="s">
        <v>5</v>
      </c>
      <c r="D6830" s="11" t="s">
        <v>5491</v>
      </c>
    </row>
    <row r="6831" spans="1:4" ht="30">
      <c r="A6831" s="5" t="str">
        <f>HYPERLINK("https://www.oit.va.gov/Services/TRM/ToolPage.aspx?tid=13977^","Red Hat Software Collections (RHSCL)")</f>
        <v>Red Hat Software Collections (RHSCL)</v>
      </c>
      <c r="B6831" s="4" t="s">
        <v>725</v>
      </c>
      <c r="C6831" s="8" t="s">
        <v>5</v>
      </c>
      <c r="D6831" s="11" t="s">
        <v>7051</v>
      </c>
    </row>
    <row r="6832" spans="1:4" ht="30">
      <c r="A6832" s="5" t="str">
        <f>HYPERLINK("https://www.oit.va.gov/Services/TRM/ToolPage.aspx?tid=13147^","Red Lion Crimson")</f>
        <v>Red Lion Crimson</v>
      </c>
      <c r="B6832" s="4" t="s">
        <v>2909</v>
      </c>
      <c r="C6832" s="8" t="s">
        <v>5</v>
      </c>
      <c r="D6832" s="11" t="s">
        <v>2910</v>
      </c>
    </row>
    <row r="6833" spans="1:4" ht="30">
      <c r="A6833" s="5" t="str">
        <f>HYPERLINK("https://www.oit.va.gov/Services/TRM/ToolPage.aspx?tid=7951^","Deltagraph")</f>
        <v>Deltagraph</v>
      </c>
      <c r="B6833" s="4" t="s">
        <v>2503</v>
      </c>
      <c r="C6833" s="8" t="s">
        <v>5</v>
      </c>
      <c r="D6833" s="11" t="s">
        <v>2504</v>
      </c>
    </row>
    <row r="6834" spans="1:4" ht="30">
      <c r="A6834" s="5" t="str">
        <f>HYPERLINK("https://www.oit.va.gov/Services/TRM/ToolPage.aspx?tid=7618^","ANTS Performance Profiler")</f>
        <v>ANTS Performance Profiler</v>
      </c>
      <c r="B6834" s="4" t="s">
        <v>352</v>
      </c>
      <c r="C6834" s="8" t="s">
        <v>5</v>
      </c>
      <c r="D6834" s="11" t="s">
        <v>353</v>
      </c>
    </row>
    <row r="6835" spans="1:4" ht="30">
      <c r="A6835" s="5" t="str">
        <f>HYPERLINK("https://www.oit.va.gov/Services/TRM/ToolPage.aspx?tid=11231^","Structured Query Language (SQL) Compare")</f>
        <v>Structured Query Language (SQL) Compare</v>
      </c>
      <c r="B6835" s="4" t="s">
        <v>352</v>
      </c>
      <c r="C6835" s="8" t="s">
        <v>5</v>
      </c>
      <c r="D6835" s="11" t="s">
        <v>1961</v>
      </c>
    </row>
    <row r="6836" spans="1:4" ht="30">
      <c r="A6836" s="5" t="str">
        <f>HYPERLINK("https://www.oit.va.gov/Services/TRM/ToolPage.aspx?tid=11200^","Structured Query Language (SQL) Dependency Tracker")</f>
        <v>Structured Query Language (SQL) Dependency Tracker</v>
      </c>
      <c r="B6836" s="4" t="s">
        <v>352</v>
      </c>
      <c r="C6836" s="8" t="s">
        <v>5</v>
      </c>
      <c r="D6836" s="11" t="s">
        <v>2996</v>
      </c>
    </row>
    <row r="6837" spans="1:4" ht="30">
      <c r="A6837" s="5" t="str">
        <f>HYPERLINK("https://www.oit.va.gov/Services/TRM/ToolPage.aspx?tid=11228^","Structured Query Language (SQL) Test")</f>
        <v>Structured Query Language (SQL) Test</v>
      </c>
      <c r="B6837" s="4" t="s">
        <v>352</v>
      </c>
      <c r="C6837" s="8" t="s">
        <v>5</v>
      </c>
      <c r="D6837" s="11" t="s">
        <v>2996</v>
      </c>
    </row>
    <row r="6838" spans="1:4" ht="30">
      <c r="A6838" s="5" t="str">
        <f>HYPERLINK("https://www.oit.va.gov/Services/TRM/ToolPage.aspx?tid=16021^","ANTS Memory Profiler")</f>
        <v>ANTS Memory Profiler</v>
      </c>
      <c r="B6838" s="4" t="s">
        <v>352</v>
      </c>
      <c r="C6838" s="8" t="s">
        <v>5</v>
      </c>
      <c r="D6838" s="11" t="s">
        <v>3752</v>
      </c>
    </row>
    <row r="6839" spans="1:4" ht="30">
      <c r="A6839" s="5" t="str">
        <f>HYPERLINK("https://www.oit.va.gov/Services/TRM/ToolPage.aspx?tid=11229^","Structured Query Language (SQL) Prompt")</f>
        <v>Structured Query Language (SQL) Prompt</v>
      </c>
      <c r="B6839" s="4" t="s">
        <v>352</v>
      </c>
      <c r="C6839" s="8" t="s">
        <v>5</v>
      </c>
      <c r="D6839" s="11" t="s">
        <v>4866</v>
      </c>
    </row>
    <row r="6840" spans="1:4" ht="30">
      <c r="A6840" s="5" t="str">
        <f>HYPERLINK("https://www.oit.va.gov/Services/TRM/ToolPage.aspx?tid=12804^","Redis Enterprise")</f>
        <v>Redis Enterprise</v>
      </c>
      <c r="B6840" s="4" t="s">
        <v>4730</v>
      </c>
      <c r="C6840" s="8" t="s">
        <v>5</v>
      </c>
      <c r="D6840" s="11" t="s">
        <v>4731</v>
      </c>
    </row>
    <row r="6841" spans="1:4" ht="30">
      <c r="A6841" s="5" t="str">
        <f>HYPERLINK("https://www.oit.va.gov/Services/TRM/ToolPage.aspx?tid=7113^","Redis")</f>
        <v>Redis</v>
      </c>
      <c r="B6841" s="4" t="s">
        <v>4730</v>
      </c>
      <c r="C6841" s="8" t="s">
        <v>5</v>
      </c>
      <c r="D6841" s="11" t="s">
        <v>7073</v>
      </c>
    </row>
    <row r="6842" spans="1:4" ht="30">
      <c r="A6842" s="5" t="str">
        <f>HYPERLINK("https://www.oit.va.gov/Services/TRM/ToolPage.aspx?tid=9465^","Redmine")</f>
        <v>Redmine</v>
      </c>
      <c r="B6842" s="4" t="s">
        <v>7074</v>
      </c>
      <c r="C6842" s="8" t="s">
        <v>5</v>
      </c>
      <c r="D6842" s="11" t="s">
        <v>3522</v>
      </c>
    </row>
    <row r="6843" spans="1:4" ht="30">
      <c r="A6843" s="5" t="str">
        <f>HYPERLINK("https://www.oit.va.gov/Services/TRM/ToolPage.aspx?tid=6489^","RedPoint Data Management")</f>
        <v>RedPoint Data Management</v>
      </c>
      <c r="B6843" s="4" t="s">
        <v>5471</v>
      </c>
      <c r="C6843" s="8" t="s">
        <v>5</v>
      </c>
      <c r="D6843" s="11" t="s">
        <v>3517</v>
      </c>
    </row>
    <row r="6844" spans="1:4" ht="30">
      <c r="A6844" s="5" t="str">
        <f>HYPERLINK("https://www.oit.va.gov/Services/TRM/ToolPage.aspx?tid=15145^","R8080 Sound Level Meter Software")</f>
        <v>R8080 Sound Level Meter Software</v>
      </c>
      <c r="B6844" s="4" t="s">
        <v>4702</v>
      </c>
      <c r="C6844" s="8" t="s">
        <v>5</v>
      </c>
      <c r="D6844" s="11" t="s">
        <v>627</v>
      </c>
    </row>
    <row r="6845" spans="1:4" ht="30">
      <c r="A6845" s="5" t="str">
        <f>HYPERLINK("https://www.oit.va.gov/Services/TRM/ToolPage.aspx?tid=10086^","Centron Presidio")</f>
        <v>Centron Presidio</v>
      </c>
      <c r="B6845" s="4" t="s">
        <v>5701</v>
      </c>
      <c r="C6845" s="8" t="s">
        <v>5</v>
      </c>
      <c r="D6845" s="11" t="s">
        <v>5702</v>
      </c>
    </row>
    <row r="6846" spans="1:4" ht="30">
      <c r="A6846" s="5" t="str">
        <f>HYPERLINK("https://www.oit.va.gov/Services/TRM/StandardPage.aspx?tid=5498^","Unified Code for Units of Measure (UCUM)")</f>
        <v>Unified Code for Units of Measure (UCUM)</v>
      </c>
      <c r="B6846" s="4" t="s">
        <v>2012</v>
      </c>
      <c r="C6846" s="8" t="s">
        <v>5</v>
      </c>
      <c r="D6846" s="11" t="s">
        <v>2013</v>
      </c>
    </row>
    <row r="6847" spans="1:4" ht="30">
      <c r="A6847" s="5" t="str">
        <f>HYPERLINK("https://www.oit.va.gov/Services/TRM/ToolPage.aspx?tid=14097^","RegistryNuke")</f>
        <v>RegistryNuke</v>
      </c>
      <c r="B6847" s="4" t="s">
        <v>8547</v>
      </c>
      <c r="C6847" s="8" t="s">
        <v>5</v>
      </c>
      <c r="D6847" s="11" t="s">
        <v>8548</v>
      </c>
    </row>
    <row r="6848" spans="1:4" ht="30">
      <c r="A6848" s="5" t="str">
        <f>HYPERLINK("https://www.oit.va.gov/Services/TRM/ToolPage.aspx?tid=13980^","ReimagePlus")</f>
        <v>ReimagePlus</v>
      </c>
      <c r="B6848" s="4" t="s">
        <v>8552</v>
      </c>
      <c r="C6848" s="8" t="s">
        <v>5</v>
      </c>
      <c r="D6848" s="11" t="s">
        <v>8553</v>
      </c>
    </row>
    <row r="6849" spans="1:4" ht="30">
      <c r="A6849" s="5" t="str">
        <f>HYPERLINK("https://www.oit.va.gov/Services/TRM/ToolPage.aspx?tid=14229^","Relativity Server")</f>
        <v>Relativity Server</v>
      </c>
      <c r="B6849" s="4" t="s">
        <v>1892</v>
      </c>
      <c r="C6849" s="8" t="s">
        <v>5</v>
      </c>
      <c r="D6849" s="11" t="s">
        <v>1800</v>
      </c>
    </row>
    <row r="6850" spans="1:4" ht="30">
      <c r="A6850" s="5" t="str">
        <f>HYPERLINK("https://www.oit.va.gov/Services/TRM/ToolPage.aspx?tid=16760^","Reliable Health Systems VISUAL Electronic Medical Record (EMR)")</f>
        <v>Reliable Health Systems VISUAL Electronic Medical Record (EMR)</v>
      </c>
      <c r="B6850" s="4" t="s">
        <v>6036</v>
      </c>
      <c r="C6850" s="8" t="s">
        <v>5</v>
      </c>
      <c r="D6850" s="11" t="s">
        <v>6037</v>
      </c>
    </row>
    <row r="6851" spans="1:4" ht="30">
      <c r="A6851" s="5" t="str">
        <f>HYPERLINK("https://www.oit.va.gov/Services/TRM/ToolPage.aspx?tid=15710^","reMarkable 2 Desktop App")</f>
        <v>reMarkable 2 Desktop App</v>
      </c>
      <c r="B6851" s="4" t="s">
        <v>4733</v>
      </c>
      <c r="C6851" s="8" t="s">
        <v>5</v>
      </c>
      <c r="D6851" s="11" t="s">
        <v>1867</v>
      </c>
    </row>
    <row r="6852" spans="1:4" ht="30">
      <c r="A6852" s="5" t="str">
        <f>HYPERLINK("https://www.oit.va.gov/Services/TRM/ToolPage.aspx?tid=7724^","Skull Anatomy")</f>
        <v>Skull Anatomy</v>
      </c>
      <c r="B6852" s="4" t="s">
        <v>4797</v>
      </c>
      <c r="C6852" s="8" t="s">
        <v>5</v>
      </c>
      <c r="D6852" s="11" t="s">
        <v>4798</v>
      </c>
    </row>
    <row r="6853" spans="1:4" ht="30">
      <c r="A6853" s="5" t="str">
        <f>HYPERLINK("https://www.oit.va.gov/Services/TRM/ToolPage.aspx?tid=7779^","Simulated Picture Archiving and Communication (SimPACS)")</f>
        <v>Simulated Picture Archiving and Communication (SimPACS)</v>
      </c>
      <c r="B6853" s="4" t="s">
        <v>4797</v>
      </c>
      <c r="C6853" s="8" t="s">
        <v>5</v>
      </c>
      <c r="D6853" s="11" t="s">
        <v>5512</v>
      </c>
    </row>
    <row r="6854" spans="1:4" ht="30">
      <c r="A6854" s="5" t="str">
        <f>HYPERLINK("https://www.oit.va.gov/Services/TRM/ToolPage.aspx?tid=7731^","Skull Computed Tomography (Skull-CT)")</f>
        <v>Skull Computed Tomography (Skull-CT)</v>
      </c>
      <c r="B6854" s="4" t="s">
        <v>4797</v>
      </c>
      <c r="C6854" s="8" t="s">
        <v>5</v>
      </c>
      <c r="D6854" s="11" t="s">
        <v>6073</v>
      </c>
    </row>
    <row r="6855" spans="1:4" ht="30">
      <c r="A6855" s="5" t="str">
        <f>HYPERLINK("https://www.oit.va.gov/Services/TRM/ToolPage.aspx?tid=7734^","Simulated X-Ray (SimXray)")</f>
        <v>Simulated X-Ray (SimXray)</v>
      </c>
      <c r="B6855" s="4" t="s">
        <v>4797</v>
      </c>
      <c r="C6855" s="8" t="s">
        <v>5</v>
      </c>
      <c r="D6855" s="11" t="s">
        <v>3091</v>
      </c>
    </row>
    <row r="6856" spans="1:4" ht="30">
      <c r="A6856" s="5" t="str">
        <f>HYPERLINK("https://www.oit.va.gov/Services/TRM/ToolPage.aspx?tid=7723^","Simulated X-Ray machine Computed Radiography (SimXray-CR) with Cine")</f>
        <v>Simulated X-Ray machine Computed Radiography (SimXray-CR) with Cine</v>
      </c>
      <c r="B6856" s="4" t="s">
        <v>4797</v>
      </c>
      <c r="C6856" s="8" t="s">
        <v>5</v>
      </c>
      <c r="D6856" s="11" t="s">
        <v>7139</v>
      </c>
    </row>
    <row r="6857" spans="1:4" ht="30">
      <c r="A6857" s="5" t="str">
        <f>HYPERLINK("https://www.oit.va.gov/Services/TRM/ToolPage.aspx?tid=10858^","Nodemon")</f>
        <v>Nodemon</v>
      </c>
      <c r="B6857" s="4" t="s">
        <v>5968</v>
      </c>
      <c r="C6857" s="8" t="s">
        <v>5</v>
      </c>
      <c r="D6857" s="11" t="s">
        <v>879</v>
      </c>
    </row>
    <row r="6858" spans="1:4" ht="30">
      <c r="A6858" s="5" t="str">
        <f>HYPERLINK("https://www.oit.va.gov/Services/TRM/ToolPage.aspx?tid=9033^","National Renal Administrators Association (NRAA) Health Information Exchange (HIE) for CROWNWeb")</f>
        <v>National Renal Administrators Association (NRAA) Health Information Exchange (HIE) for CROWNWeb</v>
      </c>
      <c r="B6858" s="4" t="s">
        <v>8302</v>
      </c>
      <c r="C6858" s="8" t="s">
        <v>5</v>
      </c>
      <c r="D6858" s="11" t="s">
        <v>5301</v>
      </c>
    </row>
    <row r="6859" spans="1:4" ht="30">
      <c r="A6859" s="5" t="str">
        <f>HYPERLINK("https://www.oit.va.gov/Services/TRM/ToolPage.aspx?tid=9366^","Dialysis Manager")</f>
        <v>Dialysis Manager</v>
      </c>
      <c r="B6859" s="4" t="s">
        <v>5754</v>
      </c>
      <c r="C6859" s="8" t="s">
        <v>5</v>
      </c>
      <c r="D6859" s="11" t="s">
        <v>5755</v>
      </c>
    </row>
    <row r="6860" spans="1:4" ht="30">
      <c r="A6860" s="5" t="str">
        <f>HYPERLINK("https://www.oit.va.gov/Services/TRM/ToolPage.aspx?tid=11713^","LumInsight Desktop")</f>
        <v>LumInsight Desktop</v>
      </c>
      <c r="B6860" s="4" t="s">
        <v>8200</v>
      </c>
      <c r="C6860" s="8" t="s">
        <v>5</v>
      </c>
      <c r="D6860" s="11" t="s">
        <v>4798</v>
      </c>
    </row>
    <row r="6861" spans="1:4" ht="30">
      <c r="A6861" s="5" t="str">
        <f>HYPERLINK("https://www.oit.va.gov/Services/TRM/ToolPage.aspx?tid=7775^","Windows-based Raman Environment (WiRE)")</f>
        <v>Windows-based Raman Environment (WiRE)</v>
      </c>
      <c r="B6861" s="4" t="s">
        <v>8933</v>
      </c>
      <c r="C6861" s="8" t="s">
        <v>5</v>
      </c>
      <c r="D6861" s="11" t="s">
        <v>6985</v>
      </c>
    </row>
    <row r="6862" spans="1:4" ht="30">
      <c r="A6862" s="5" t="str">
        <f>HYPERLINK("https://www.oit.va.gov/Services/TRM/ToolPage.aspx?tid=15648^","Program Increment (PI) Planning Application")</f>
        <v>Program Increment (PI) Planning Application</v>
      </c>
      <c r="B6862" s="4" t="s">
        <v>4659</v>
      </c>
      <c r="C6862" s="8" t="s">
        <v>5</v>
      </c>
      <c r="D6862" s="11" t="s">
        <v>4660</v>
      </c>
    </row>
    <row r="6863" spans="1:4" ht="30">
      <c r="A6863" s="5" t="str">
        <f>HYPERLINK("https://www.oit.va.gov/Services/TRM/ToolPage.aspx?tid=16042^","Parlay")</f>
        <v>Parlay</v>
      </c>
      <c r="B6863" s="4" t="s">
        <v>1239</v>
      </c>
      <c r="C6863" s="8" t="s">
        <v>5</v>
      </c>
      <c r="D6863" s="11" t="s">
        <v>1240</v>
      </c>
    </row>
    <row r="6864" spans="1:4" ht="30">
      <c r="A6864" s="5" t="str">
        <f>HYPERLINK("https://www.oit.va.gov/Services/TRM/ToolPage.aspx?tid=15935^","Reprise License Manager")</f>
        <v>Reprise License Manager</v>
      </c>
      <c r="B6864" s="4" t="s">
        <v>829</v>
      </c>
      <c r="C6864" s="8" t="s">
        <v>5</v>
      </c>
      <c r="D6864" s="11" t="s">
        <v>830</v>
      </c>
    </row>
    <row r="6865" spans="1:4" ht="30">
      <c r="A6865" s="5" t="str">
        <f>HYPERLINK("https://www.oit.va.gov/Services/TRM/ToolPage.aspx?tid=7709^","SUDAAN")</f>
        <v>SUDAAN</v>
      </c>
      <c r="B6865" s="4" t="s">
        <v>7191</v>
      </c>
      <c r="C6865" s="8" t="s">
        <v>5</v>
      </c>
      <c r="D6865" s="11" t="s">
        <v>4844</v>
      </c>
    </row>
    <row r="6866" spans="1:4" ht="30">
      <c r="A6866" s="5" t="str">
        <f>HYPERLINK("https://www.oit.va.gov/Services/TRM/ToolPage.aspx?tid=16855^","Resilio File Sync")</f>
        <v>Resilio File Sync</v>
      </c>
      <c r="B6866" s="4" t="s">
        <v>2915</v>
      </c>
      <c r="C6866" s="8" t="s">
        <v>5</v>
      </c>
      <c r="D6866" s="11" t="s">
        <v>2916</v>
      </c>
    </row>
    <row r="6867" spans="1:4" ht="30">
      <c r="A6867" s="5" t="str">
        <f>HYPERLINK("https://www.oit.va.gov/Services/TRM/ToolPage.aspx?tid=15853^","Resmed Cloud Connect")</f>
        <v>Resmed Cloud Connect</v>
      </c>
      <c r="B6867" s="4" t="s">
        <v>2917</v>
      </c>
      <c r="C6867" s="8" t="s">
        <v>5</v>
      </c>
      <c r="D6867" s="11" t="s">
        <v>2918</v>
      </c>
    </row>
    <row r="6868" spans="1:4" ht="30">
      <c r="A6868" s="5" t="str">
        <f>HYPERLINK("https://www.oit.va.gov/Services/TRM/ToolPage.aspx?tid=7097^","ResScan")</f>
        <v>ResScan</v>
      </c>
      <c r="B6868" s="4" t="s">
        <v>2917</v>
      </c>
      <c r="C6868" s="8" t="s">
        <v>5</v>
      </c>
      <c r="D6868" s="11" t="s">
        <v>2043</v>
      </c>
    </row>
    <row r="6869" spans="1:4" ht="30">
      <c r="A6869" s="5" t="str">
        <f>HYPERLINK("https://www.oit.va.gov/Services/TRM/ToolPage.aspx?tid=7399^","ApneaLink Air")</f>
        <v>ApneaLink Air</v>
      </c>
      <c r="B6869" s="4" t="s">
        <v>2917</v>
      </c>
      <c r="C6869" s="8" t="s">
        <v>5</v>
      </c>
      <c r="D6869" s="11" t="s">
        <v>5613</v>
      </c>
    </row>
    <row r="6870" spans="1:4" ht="30">
      <c r="A6870" s="5" t="str">
        <f>HYPERLINK("https://www.oit.va.gov/Services/TRM/ToolPage.aspx?tid=7273^","RiskVision Risk Intelligence Platform")</f>
        <v>RiskVision Risk Intelligence Platform</v>
      </c>
      <c r="B6870" s="4" t="s">
        <v>5482</v>
      </c>
      <c r="C6870" s="8" t="s">
        <v>5</v>
      </c>
      <c r="D6870" s="11" t="s">
        <v>5483</v>
      </c>
    </row>
    <row r="6871" spans="1:4" ht="30">
      <c r="A6871" s="5" t="str">
        <f>HYPERLINK("https://www.oit.va.gov/Services/TRM/ToolPage.aspx?tid=6122^","Registrar Registry Manager")</f>
        <v>Registrar Registry Manager</v>
      </c>
      <c r="B6871" s="4" t="s">
        <v>5472</v>
      </c>
      <c r="C6871" s="8" t="s">
        <v>5</v>
      </c>
      <c r="D6871" s="11" t="s">
        <v>5473</v>
      </c>
    </row>
    <row r="6872" spans="1:4" ht="30">
      <c r="A6872" s="5" t="str">
        <f>HYPERLINK("https://www.oit.va.gov/Services/TRM/ToolPage.aspx?tid=16035^","Respondus")</f>
        <v>Respondus</v>
      </c>
      <c r="B6872" s="4" t="s">
        <v>253</v>
      </c>
      <c r="C6872" s="8" t="s">
        <v>5</v>
      </c>
      <c r="D6872" s="11" t="s">
        <v>254</v>
      </c>
    </row>
    <row r="6873" spans="1:4" ht="30">
      <c r="A6873" s="5" t="str">
        <f>HYPERLINK("https://www.oit.va.gov/Services/TRM/ToolPage.aspx?tid=16065^","Respondus LockDown Browser")</f>
        <v>Respondus LockDown Browser</v>
      </c>
      <c r="B6873" s="4" t="s">
        <v>253</v>
      </c>
      <c r="C6873" s="8" t="s">
        <v>5</v>
      </c>
      <c r="D6873" s="11" t="s">
        <v>1092</v>
      </c>
    </row>
    <row r="6874" spans="1:4" ht="30">
      <c r="A6874" s="5" t="str">
        <f>HYPERLINK("https://www.oit.va.gov/Services/TRM/ToolPage.aspx?tid=13009^","RestSharp")</f>
        <v>RestSharp</v>
      </c>
      <c r="B6874" s="4" t="s">
        <v>7080</v>
      </c>
      <c r="C6874" s="8" t="s">
        <v>5</v>
      </c>
      <c r="D6874" s="11" t="s">
        <v>7081</v>
      </c>
    </row>
    <row r="6875" spans="1:4" ht="30">
      <c r="A6875" s="5" t="str">
        <f>HYPERLINK("https://www.oit.va.gov/Services/TRM/ToolPage.aspx?tid=10465^","SmartPST")</f>
        <v>SmartPST</v>
      </c>
      <c r="B6875" s="4" t="s">
        <v>144</v>
      </c>
      <c r="C6875" s="8" t="s">
        <v>5</v>
      </c>
      <c r="D6875" s="11" t="s">
        <v>145</v>
      </c>
    </row>
    <row r="6876" spans="1:4" ht="30">
      <c r="A6876" s="5" t="str">
        <f>HYPERLINK("https://www.oit.va.gov/Services/TRM/ToolPage.aspx?tid=10901^","Retrospect Backup")</f>
        <v>Retrospect Backup</v>
      </c>
      <c r="B6876" s="4" t="s">
        <v>6208</v>
      </c>
      <c r="C6876" s="8" t="s">
        <v>5</v>
      </c>
      <c r="D6876" s="11" t="s">
        <v>4686</v>
      </c>
    </row>
    <row r="6877" spans="1:4" ht="30">
      <c r="A6877" s="5" t="str">
        <f>HYPERLINK("https://www.oit.va.gov/Services/TRM/ToolPage.aspx?tid=13003^","FlexNet Publisher")</f>
        <v>FlexNet Publisher</v>
      </c>
      <c r="B6877" s="4" t="s">
        <v>4138</v>
      </c>
      <c r="C6877" s="8" t="s">
        <v>5</v>
      </c>
      <c r="D6877" s="11" t="s">
        <v>4139</v>
      </c>
    </row>
    <row r="6878" spans="1:4" ht="30">
      <c r="A6878" s="5" t="str">
        <f>HYPERLINK("https://www.oit.va.gov/Services/TRM/ToolPage.aspx?tid=36^","InstallShield")</f>
        <v>InstallShield</v>
      </c>
      <c r="B6878" s="4" t="s">
        <v>4138</v>
      </c>
      <c r="C6878" s="8" t="s">
        <v>5</v>
      </c>
      <c r="D6878" s="11" t="s">
        <v>3698</v>
      </c>
    </row>
    <row r="6879" spans="1:4" ht="30">
      <c r="A6879" s="5" t="str">
        <f>HYPERLINK("https://www.oit.va.gov/Services/TRM/ToolPage.aspx?tid=5846^","InstallAnywhere Collaboration")</f>
        <v>InstallAnywhere Collaboration</v>
      </c>
      <c r="B6879" s="4" t="s">
        <v>4138</v>
      </c>
      <c r="C6879" s="8" t="s">
        <v>5</v>
      </c>
      <c r="D6879" s="11" t="s">
        <v>2331</v>
      </c>
    </row>
    <row r="6880" spans="1:4" ht="30">
      <c r="A6880" s="5" t="str">
        <f>HYPERLINK("https://www.oit.va.gov/Services/TRM/ToolPage.aspx?tid=9359^","Revizto Viewer")</f>
        <v>Revizto Viewer</v>
      </c>
      <c r="B6880" s="4" t="s">
        <v>5480</v>
      </c>
      <c r="C6880" s="8" t="s">
        <v>5</v>
      </c>
      <c r="D6880" s="11" t="s">
        <v>5481</v>
      </c>
    </row>
    <row r="6881" spans="1:4" ht="30">
      <c r="A6881" s="5" t="str">
        <f>HYPERLINK("https://www.oit.va.gov/Services/TRM/ToolPage.aspx?tid=16587^","Quantum GX Viewer Pack")</f>
        <v>Quantum GX Viewer Pack</v>
      </c>
      <c r="B6881" s="4" t="s">
        <v>1878</v>
      </c>
      <c r="C6881" s="8" t="s">
        <v>5</v>
      </c>
      <c r="D6881" s="11" t="s">
        <v>1879</v>
      </c>
    </row>
    <row r="6882" spans="1:4" ht="30">
      <c r="A6882" s="5" t="str">
        <f>HYPERLINK("https://www.oit.va.gov/Services/TRM/ToolPage.aspx?tid=13169^","REX-Ray")</f>
        <v>REX-Ray</v>
      </c>
      <c r="B6882" s="4" t="s">
        <v>3489</v>
      </c>
      <c r="C6882" s="8" t="s">
        <v>5</v>
      </c>
      <c r="D6882" s="11" t="s">
        <v>2185</v>
      </c>
    </row>
    <row r="6883" spans="1:4" ht="30">
      <c r="A6883" s="5" t="str">
        <f>HYPERLINK("https://www.oit.va.gov/Services/TRM/ToolPage.aspx?tid=14879^","pcProx Config Software")</f>
        <v>pcProx Config Software</v>
      </c>
      <c r="B6883" s="4" t="s">
        <v>3446</v>
      </c>
      <c r="C6883" s="8" t="s">
        <v>5</v>
      </c>
      <c r="D6883" s="11" t="s">
        <v>530</v>
      </c>
    </row>
    <row r="6884" spans="1:4" ht="30">
      <c r="A6884" s="5" t="str">
        <f>HYPERLINK("https://www.oit.va.gov/Services/TRM/ToolPage.aspx?tid=13978^","Code Alert")</f>
        <v>Code Alert</v>
      </c>
      <c r="B6884" s="4" t="s">
        <v>3937</v>
      </c>
      <c r="C6884" s="8" t="s">
        <v>5</v>
      </c>
      <c r="D6884" s="11" t="s">
        <v>3924</v>
      </c>
    </row>
    <row r="6885" spans="1:4" ht="30">
      <c r="A6885" s="5" t="str">
        <f>HYPERLINK("https://www.oit.va.gov/Services/TRM/ToolPage.aspx?tid=14667^","RF Code Centerscape Radio Frequency Identification (RFID) Management Software")</f>
        <v>RF Code Centerscape Radio Frequency Identification (RFID) Management Software</v>
      </c>
      <c r="B6885" s="4" t="s">
        <v>4738</v>
      </c>
      <c r="C6885" s="8" t="s">
        <v>5</v>
      </c>
      <c r="D6885" s="11" t="s">
        <v>4739</v>
      </c>
    </row>
    <row r="6886" spans="1:4" ht="30">
      <c r="A6886" s="5" t="str">
        <f>HYPERLINK("https://www.oit.va.gov/Services/TRM/ToolPage.aspx?tid=11227^","Corepoint Integration Engine")</f>
        <v>Corepoint Integration Engine</v>
      </c>
      <c r="B6886" s="4" t="s">
        <v>5737</v>
      </c>
      <c r="C6886" s="8" t="s">
        <v>5</v>
      </c>
      <c r="D6886" s="11" t="s">
        <v>5321</v>
      </c>
    </row>
    <row r="6887" spans="1:4" ht="30">
      <c r="A6887" s="5" t="str">
        <f>HYPERLINK("https://www.oit.va.gov/Services/TRM/ToolPage.aspx?tid=15062^","Turbo Meeting")</f>
        <v>Turbo Meeting</v>
      </c>
      <c r="B6887" s="4" t="s">
        <v>8833</v>
      </c>
      <c r="C6887" s="8" t="s">
        <v>5</v>
      </c>
      <c r="D6887" s="11" t="s">
        <v>8834</v>
      </c>
    </row>
    <row r="6888" spans="1:4" ht="30">
      <c r="A6888" s="5" t="str">
        <f>HYPERLINK("https://www.oit.va.gov/Services/TRM/ToolPage.aspx?tid=10329^","RGraph")</f>
        <v>RGraph</v>
      </c>
      <c r="B6888" s="4" t="s">
        <v>6043</v>
      </c>
      <c r="C6888" s="8" t="s">
        <v>5</v>
      </c>
      <c r="D6888" s="11" t="s">
        <v>6044</v>
      </c>
    </row>
    <row r="6889" spans="1:4" ht="30">
      <c r="A6889" s="5" t="str">
        <f>HYPERLINK("https://www.oit.va.gov/Services/TRM/ToolPage.aspx?tid=14662^","NSwagStudio")</f>
        <v>NSwagStudio</v>
      </c>
      <c r="B6889" s="4" t="s">
        <v>8344</v>
      </c>
      <c r="C6889" s="8" t="s">
        <v>5</v>
      </c>
      <c r="D6889" s="11" t="s">
        <v>8345</v>
      </c>
    </row>
    <row r="6890" spans="1:4" ht="30">
      <c r="A6890" s="5" t="str">
        <f>HYPERLINK("https://www.oit.va.gov/Services/TRM/ToolPage.aspx?tid=10255^","Ricoh ProcessDirector")</f>
        <v>Ricoh ProcessDirector</v>
      </c>
      <c r="B6890" s="4" t="s">
        <v>1897</v>
      </c>
      <c r="C6890" s="8" t="s">
        <v>5</v>
      </c>
      <c r="D6890" s="11" t="s">
        <v>1720</v>
      </c>
    </row>
    <row r="6891" spans="1:4" ht="30">
      <c r="A6891" s="5" t="str">
        <f>HYPERLINK("https://www.oit.va.gov/Services/TRM/ToolPage.aspx?tid=12967^","RICOH Streamline NX")</f>
        <v>RICOH Streamline NX</v>
      </c>
      <c r="B6891" s="4" t="s">
        <v>1897</v>
      </c>
      <c r="C6891" s="8" t="s">
        <v>5</v>
      </c>
      <c r="D6891" s="11" t="s">
        <v>1898</v>
      </c>
    </row>
    <row r="6892" spans="1:4" ht="30">
      <c r="A6892" s="5" t="str">
        <f>HYPERLINK("https://www.oit.va.gov/Services/TRM/ToolPage.aspx?tid=16671^","RICOH THETA Application (App)")</f>
        <v>RICOH THETA Application (App)</v>
      </c>
      <c r="B6892" s="4" t="s">
        <v>1897</v>
      </c>
      <c r="C6892" s="8" t="s">
        <v>5</v>
      </c>
      <c r="D6892" s="11" t="s">
        <v>1899</v>
      </c>
    </row>
    <row r="6893" spans="1:4" ht="30">
      <c r="A6893" s="5" t="str">
        <f>HYPERLINK("https://www.oit.va.gov/Services/TRM/ToolPage.aspx?tid=14991^","PaperStream Capture")</f>
        <v>PaperStream Capture</v>
      </c>
      <c r="B6893" s="4" t="s">
        <v>1897</v>
      </c>
      <c r="C6893" s="8" t="s">
        <v>5</v>
      </c>
      <c r="D6893" s="11" t="s">
        <v>859</v>
      </c>
    </row>
    <row r="6894" spans="1:4" ht="30">
      <c r="A6894" s="5" t="str">
        <f>HYPERLINK("https://www.oit.va.gov/Services/TRM/ToolPage.aspx?tid=6096^","Print Copy Scan (PCS) Director")</f>
        <v>Print Copy Scan (PCS) Director</v>
      </c>
      <c r="B6894" s="4" t="s">
        <v>1897</v>
      </c>
      <c r="C6894" s="8" t="s">
        <v>5</v>
      </c>
      <c r="D6894" s="11" t="s">
        <v>2875</v>
      </c>
    </row>
    <row r="6895" spans="1:4" ht="30">
      <c r="A6895" s="5" t="str">
        <f>HYPERLINK("https://www.oit.va.gov/Services/TRM/ToolPage.aspx?tid=16343^","Ricoh ProcessDirector Plug-In for Adobe Acrobat")</f>
        <v>Ricoh ProcessDirector Plug-In for Adobe Acrobat</v>
      </c>
      <c r="B6895" s="4" t="s">
        <v>1897</v>
      </c>
      <c r="C6895" s="8" t="s">
        <v>5</v>
      </c>
      <c r="D6895" s="11" t="s">
        <v>2921</v>
      </c>
    </row>
    <row r="6896" spans="1:4" ht="30">
      <c r="A6896" s="5" t="str">
        <f>HYPERLINK("https://www.oit.va.gov/Services/TRM/ToolPage.aspx?tid=11794^","PaperStream IP (Image Processing)")</f>
        <v>PaperStream IP (Image Processing)</v>
      </c>
      <c r="B6896" s="4" t="s">
        <v>1897</v>
      </c>
      <c r="C6896" s="8" t="s">
        <v>5</v>
      </c>
      <c r="D6896" s="11" t="s">
        <v>5410</v>
      </c>
    </row>
    <row r="6897" spans="1:4" ht="30">
      <c r="A6897" s="5" t="str">
        <f>HYPERLINK("https://www.oit.va.gov/Services/TRM/ToolPage.aspx?tid=15704^","Ricoh Remote Operations Client")</f>
        <v>Ricoh Remote Operations Client</v>
      </c>
      <c r="B6897" s="4" t="s">
        <v>1897</v>
      </c>
      <c r="C6897" s="8" t="s">
        <v>5</v>
      </c>
      <c r="D6897" s="11" t="s">
        <v>6017</v>
      </c>
    </row>
    <row r="6898" spans="1:4" ht="30">
      <c r="A6898" s="5" t="str">
        <f>HYPERLINK("https://www.oit.va.gov/Services/TRM/ToolPage.aspx?tid=14467^","Win2PDF")</f>
        <v>Win2PDF</v>
      </c>
      <c r="B6898" s="4" t="s">
        <v>1897</v>
      </c>
      <c r="C6898" s="8" t="s">
        <v>5</v>
      </c>
      <c r="D6898" s="11" t="s">
        <v>5554</v>
      </c>
    </row>
    <row r="6899" spans="1:4" ht="30">
      <c r="A6899" s="5" t="str">
        <f>HYPERLINK("https://www.oit.va.gov/Services/TRM/ToolPage.aspx?tid=8638^","Ricoh Device Manager NX Lite")</f>
        <v>Ricoh Device Manager NX Lite</v>
      </c>
      <c r="B6899" s="4" t="s">
        <v>1897</v>
      </c>
      <c r="C6899" s="8" t="s">
        <v>5</v>
      </c>
      <c r="D6899" s="11" t="s">
        <v>7083</v>
      </c>
    </row>
    <row r="6900" spans="1:4" ht="30">
      <c r="A6900" s="5" t="str">
        <f>HYPERLINK("https://www.oit.va.gov/Services/TRM/ToolPage.aspx?tid=7253^","RightITnow Event Correlation Manager (ECM)")</f>
        <v>RightITnow Event Correlation Manager (ECM)</v>
      </c>
      <c r="B6900" s="4" t="s">
        <v>4743</v>
      </c>
      <c r="C6900" s="8" t="s">
        <v>5</v>
      </c>
      <c r="D6900" s="11" t="s">
        <v>4744</v>
      </c>
    </row>
    <row r="6901" spans="1:4" ht="30">
      <c r="A6901" s="5" t="str">
        <f>HYPERLINK("https://www.oit.va.gov/Services/TRM/ToolPage.aspx?tid=14200^","Rimage Compact Disc (CD) Designer")</f>
        <v>Rimage Compact Disc (CD) Designer</v>
      </c>
      <c r="B6901" s="4" t="s">
        <v>1244</v>
      </c>
      <c r="C6901" s="8" t="s">
        <v>5</v>
      </c>
      <c r="D6901" s="11" t="s">
        <v>1245</v>
      </c>
    </row>
    <row r="6902" spans="1:4" ht="30">
      <c r="A6902" s="5" t="str">
        <f>HYPERLINK("https://www.oit.va.gov/Services/TRM/ToolPage.aspx?tid=14201^","Rimage System Manager")</f>
        <v>Rimage System Manager</v>
      </c>
      <c r="B6902" s="4" t="s">
        <v>1244</v>
      </c>
      <c r="C6902" s="8" t="s">
        <v>5</v>
      </c>
      <c r="D6902" s="11" t="s">
        <v>434</v>
      </c>
    </row>
    <row r="6903" spans="1:4" ht="30">
      <c r="A6903" s="5" t="str">
        <f>HYPERLINK("https://www.oit.va.gov/Services/TRM/ToolPage.aspx?tid=14202^","Rimage QuickDisc")</f>
        <v>Rimage QuickDisc</v>
      </c>
      <c r="B6903" s="4" t="s">
        <v>1244</v>
      </c>
      <c r="C6903" s="8" t="s">
        <v>5</v>
      </c>
      <c r="D6903" s="11" t="s">
        <v>3490</v>
      </c>
    </row>
    <row r="6904" spans="1:4" ht="30">
      <c r="A6904" s="5" t="str">
        <f>HYPERLINK("https://www.oit.va.gov/Services/TRM/ToolPage.aspx?tid=15483^","Rimage Software Development Kit (SDK)")</f>
        <v>Rimage Software Development Kit (SDK)</v>
      </c>
      <c r="B6904" s="4" t="s">
        <v>1244</v>
      </c>
      <c r="C6904" s="8" t="s">
        <v>5</v>
      </c>
      <c r="D6904" s="11" t="s">
        <v>7084</v>
      </c>
    </row>
    <row r="6905" spans="1:4" ht="30">
      <c r="A6905" s="5" t="str">
        <f>HYPERLINK("https://www.oit.va.gov/Services/TRM/ToolPage.aspx?tid=15363^","RingCentral Meetings")</f>
        <v>RingCentral Meetings</v>
      </c>
      <c r="B6905" s="4" t="s">
        <v>7085</v>
      </c>
      <c r="C6905" s="8" t="s">
        <v>5</v>
      </c>
      <c r="D6905" s="11" t="s">
        <v>7086</v>
      </c>
    </row>
    <row r="6906" spans="1:4" ht="30">
      <c r="A6906" s="5" t="str">
        <f>HYPERLINK("https://www.oit.va.gov/Services/TRM/ToolPage.aspx?tid=16260^","Polars Python DataFrame Library")</f>
        <v>Polars Python DataFrame Library</v>
      </c>
      <c r="B6906" s="4" t="s">
        <v>4616</v>
      </c>
      <c r="C6906" s="8" t="s">
        <v>5</v>
      </c>
      <c r="D6906" s="11" t="s">
        <v>4617</v>
      </c>
    </row>
    <row r="6907" spans="1:4" ht="30">
      <c r="A6907" s="5" t="str">
        <f>HYPERLINK("https://www.oit.va.gov/Services/TRM/ToolPage.aspx?tid=13259^","ClearRead CT")</f>
        <v>ClearRead CT</v>
      </c>
      <c r="B6907" s="4" t="s">
        <v>2460</v>
      </c>
      <c r="C6907" s="8" t="s">
        <v>5</v>
      </c>
      <c r="D6907" s="11" t="s">
        <v>1201</v>
      </c>
    </row>
    <row r="6908" spans="1:4" ht="30">
      <c r="A6908" s="5" t="str">
        <f>HYPERLINK("https://www.oit.va.gov/Services/TRM/ToolPage.aspx?tid=16119^","Aternity Activity Designer")</f>
        <v>Aternity Activity Designer</v>
      </c>
      <c r="B6908" s="4" t="s">
        <v>581</v>
      </c>
      <c r="C6908" s="8" t="s">
        <v>5</v>
      </c>
      <c r="D6908" s="11" t="s">
        <v>582</v>
      </c>
    </row>
    <row r="6909" spans="1:4" ht="30">
      <c r="A6909" s="5" t="str">
        <f>HYPERLINK("https://www.oit.va.gov/Services/TRM/ToolPage.aspx?tid=6944^","Aternity Agent")</f>
        <v>Aternity Agent</v>
      </c>
      <c r="B6909" s="4" t="s">
        <v>581</v>
      </c>
      <c r="C6909" s="8" t="s">
        <v>5</v>
      </c>
      <c r="D6909" s="11" t="s">
        <v>477</v>
      </c>
    </row>
    <row r="6910" spans="1:4" ht="30">
      <c r="A6910" s="5" t="str">
        <f>HYPERLINK("https://www.oit.va.gov/Services/TRM/ToolPage.aspx?tid=6718^","SteelCentral Transaction Analyzer Plus")</f>
        <v>SteelCentral Transaction Analyzer Plus</v>
      </c>
      <c r="B6910" s="4" t="s">
        <v>581</v>
      </c>
      <c r="C6910" s="8" t="s">
        <v>5</v>
      </c>
      <c r="D6910" s="11" t="s">
        <v>1930</v>
      </c>
    </row>
    <row r="6911" spans="1:4" ht="30">
      <c r="A6911" s="5" t="str">
        <f>HYPERLINK("https://www.oit.va.gov/Services/TRM/ToolPage.aspx?tid=14311^","Aternity Extension for Agent")</f>
        <v>Aternity Extension for Agent</v>
      </c>
      <c r="B6911" s="4" t="s">
        <v>581</v>
      </c>
      <c r="C6911" s="8" t="s">
        <v>5</v>
      </c>
      <c r="D6911" s="11" t="s">
        <v>3786</v>
      </c>
    </row>
    <row r="6912" spans="1:4" ht="30">
      <c r="A6912" s="5" t="str">
        <f>HYPERLINK("https://www.oit.va.gov/Services/TRM/ToolPage.aspx?tid=13781^","Riverbed Modeler")</f>
        <v>Riverbed Modeler</v>
      </c>
      <c r="B6912" s="4" t="s">
        <v>581</v>
      </c>
      <c r="C6912" s="8" t="s">
        <v>5</v>
      </c>
      <c r="D6912" s="11" t="s">
        <v>4745</v>
      </c>
    </row>
    <row r="6913" spans="1:4" ht="30">
      <c r="A6913" s="5" t="str">
        <f>HYPERLINK("https://www.oit.va.gov/Services/TRM/ToolPage.aspx?tid=11739^","SteelCentral Net Infrastructure Management (NetIM)")</f>
        <v>SteelCentral Net Infrastructure Management (NetIM)</v>
      </c>
      <c r="B6913" s="4" t="s">
        <v>581</v>
      </c>
      <c r="C6913" s="8" t="s">
        <v>5</v>
      </c>
      <c r="D6913" s="11" t="s">
        <v>4854</v>
      </c>
    </row>
    <row r="6914" spans="1:4" ht="30">
      <c r="A6914" s="5" t="str">
        <f>HYPERLINK("https://www.oit.va.gov/Services/TRM/ToolPage.aspx?tid=13757^","SteelCentral Transaction Analyzer Agents")</f>
        <v>SteelCentral Transaction Analyzer Agents</v>
      </c>
      <c r="B6914" s="4" t="s">
        <v>581</v>
      </c>
      <c r="C6914" s="8" t="s">
        <v>5</v>
      </c>
      <c r="D6914" s="11" t="s">
        <v>3539</v>
      </c>
    </row>
    <row r="6915" spans="1:4" ht="30">
      <c r="A6915" s="5" t="str">
        <f>HYPERLINK("https://www.oit.va.gov/Services/TRM/ToolPage.aspx?tid=11738^","SteelCentral Unified Communications Expert (UCExpert)")</f>
        <v>SteelCentral Unified Communications Expert (UCExpert)</v>
      </c>
      <c r="B6915" s="4" t="s">
        <v>581</v>
      </c>
      <c r="C6915" s="8" t="s">
        <v>5</v>
      </c>
      <c r="D6915" s="11" t="s">
        <v>4761</v>
      </c>
    </row>
    <row r="6916" spans="1:4" ht="30">
      <c r="A6916" s="5" t="str">
        <f>HYPERLINK("https://www.oit.va.gov/Services/TRM/ToolPage.aspx?tid=16100^","Aternity Web Activity Creator (WAC)")</f>
        <v>Aternity Web Activity Creator (WAC)</v>
      </c>
      <c r="B6916" s="4" t="s">
        <v>581</v>
      </c>
      <c r="C6916" s="8" t="s">
        <v>5</v>
      </c>
      <c r="D6916" s="11" t="s">
        <v>5062</v>
      </c>
    </row>
    <row r="6917" spans="1:4" ht="30">
      <c r="A6917" s="5" t="str">
        <f>HYPERLINK("https://www.oit.va.gov/Services/TRM/ToolPage.aspx?tid=13763^","SteelCentral NetPlanner")</f>
        <v>SteelCentral NetPlanner</v>
      </c>
      <c r="B6917" s="4" t="s">
        <v>581</v>
      </c>
      <c r="C6917" s="8" t="s">
        <v>5</v>
      </c>
      <c r="D6917" s="11" t="s">
        <v>6088</v>
      </c>
    </row>
    <row r="6918" spans="1:4" ht="30">
      <c r="A6918" s="5" t="str">
        <f>HYPERLINK("https://www.oit.va.gov/Services/TRM/ToolPage.aspx?tid=9728^","Client Accelerator")</f>
        <v>Client Accelerator</v>
      </c>
      <c r="B6918" s="4" t="s">
        <v>581</v>
      </c>
      <c r="C6918" s="8" t="s">
        <v>5</v>
      </c>
      <c r="D6918" s="11" t="s">
        <v>3871</v>
      </c>
    </row>
    <row r="6919" spans="1:4" ht="30">
      <c r="A6919" s="5" t="str">
        <f>HYPERLINK("https://www.oit.va.gov/Services/TRM/ToolPage.aspx?tid=5779^","Windows Packet Capture (WinPcap)")</f>
        <v>Windows Packet Capture (WinPcap)</v>
      </c>
      <c r="B6919" s="4" t="s">
        <v>581</v>
      </c>
      <c r="C6919" s="8" t="s">
        <v>5</v>
      </c>
      <c r="D6919" s="11" t="s">
        <v>7331</v>
      </c>
    </row>
    <row r="6920" spans="1:4" ht="30">
      <c r="A6920" s="5" t="str">
        <f>HYPERLINK("https://www.oit.va.gov/Services/TRM/ToolPage.aspx?tid=7676^","SteelCentral NetProfiler Virtual Edition")</f>
        <v>SteelCentral NetProfiler Virtual Edition</v>
      </c>
      <c r="B6920" s="4" t="s">
        <v>581</v>
      </c>
      <c r="C6920" s="8" t="s">
        <v>5</v>
      </c>
      <c r="D6920" s="11" t="s">
        <v>8734</v>
      </c>
    </row>
    <row r="6921" spans="1:4" ht="30">
      <c r="A6921" s="5" t="str">
        <f>HYPERLINK("https://www.oit.va.gov/Services/TRM/ToolPage.aspx?tid=7211^","Woodcock Johnson IV")</f>
        <v>Woodcock Johnson IV</v>
      </c>
      <c r="B6921" s="4" t="s">
        <v>8949</v>
      </c>
      <c r="C6921" s="8" t="s">
        <v>5</v>
      </c>
      <c r="D6921" s="11" t="s">
        <v>8950</v>
      </c>
    </row>
    <row r="6922" spans="1:4" ht="30">
      <c r="A6922" s="5" t="str">
        <f>HYPERLINK("https://www.oit.va.gov/Services/TRM/ToolPage.aspx?tid=11516^","Body Composition (BC) Software")</f>
        <v>Body Composition (BC) Software</v>
      </c>
      <c r="B6922" s="4" t="s">
        <v>1149</v>
      </c>
      <c r="C6922" s="8" t="s">
        <v>5</v>
      </c>
      <c r="D6922" s="11" t="s">
        <v>175</v>
      </c>
    </row>
    <row r="6923" spans="1:4" ht="30">
      <c r="A6923" s="5" t="str">
        <f>HYPERLINK("https://www.oit.va.gov/Services/TRM/ToolPage.aspx?tid=8128^","GX-2012 Data Logger Program")</f>
        <v>GX-2012 Data Logger Program</v>
      </c>
      <c r="B6923" s="4" t="s">
        <v>4202</v>
      </c>
      <c r="C6923" s="8" t="s">
        <v>5</v>
      </c>
      <c r="D6923" s="11" t="s">
        <v>4086</v>
      </c>
    </row>
    <row r="6924" spans="1:4" ht="30">
      <c r="A6924" s="5" t="str">
        <f>HYPERLINK("https://www.oit.va.gov/Services/TRM/ToolPage.aspx?tid=8522^","Sinopia")</f>
        <v>Sinopia</v>
      </c>
      <c r="B6924" s="4" t="s">
        <v>7147</v>
      </c>
      <c r="C6924" s="8" t="s">
        <v>5</v>
      </c>
      <c r="D6924" s="11" t="s">
        <v>865</v>
      </c>
    </row>
    <row r="6925" spans="1:4" ht="30">
      <c r="A6925" s="5" t="str">
        <f>HYPERLINK("https://www.oit.va.gov/Services/TRM/ToolPage.aspx?tid=14326^","RMTrack")</f>
        <v>RMTrack</v>
      </c>
      <c r="B6925" s="4" t="s">
        <v>6047</v>
      </c>
      <c r="C6925" s="8" t="s">
        <v>5</v>
      </c>
      <c r="D6925" s="11" t="s">
        <v>6048</v>
      </c>
    </row>
    <row r="6926" spans="1:4" ht="30">
      <c r="A6926" s="5" t="str">
        <f>HYPERLINK("https://www.oit.va.gov/Services/TRM/ToolPage.aspx?tid=12973^","A Ruler For Windows")</f>
        <v>A Ruler For Windows</v>
      </c>
      <c r="B6926" s="4" t="s">
        <v>6220</v>
      </c>
      <c r="C6926" s="8" t="s">
        <v>5</v>
      </c>
      <c r="D6926" s="11" t="s">
        <v>3797</v>
      </c>
    </row>
    <row r="6927" spans="1:4" ht="30">
      <c r="A6927" s="5" t="str">
        <f>HYPERLINK("https://www.oit.va.gov/Services/TRM/ToolPage.aspx?tid=7210^","Windows Installer Extensible Markup Language (XML) (WiX)")</f>
        <v>Windows Installer Extensible Markup Language (XML) (WiX)</v>
      </c>
      <c r="B6927" s="4" t="s">
        <v>2202</v>
      </c>
      <c r="C6927" s="8" t="s">
        <v>5</v>
      </c>
      <c r="D6927" s="11" t="s">
        <v>905</v>
      </c>
    </row>
    <row r="6928" spans="1:4" ht="30">
      <c r="A6928" s="5" t="str">
        <f>HYPERLINK("https://www.oit.va.gov/Services/TRM/ToolPage.aspx?tid=16319^","Berkeley Yacc (byacc)")</f>
        <v>Berkeley Yacc (byacc)</v>
      </c>
      <c r="B6928" s="4" t="s">
        <v>3827</v>
      </c>
      <c r="C6928" s="8" t="s">
        <v>5</v>
      </c>
      <c r="D6928" s="11" t="s">
        <v>3817</v>
      </c>
    </row>
    <row r="6929" spans="1:4" ht="30">
      <c r="A6929" s="5" t="str">
        <f>HYPERLINK("https://www.oit.va.gov/Services/TRM/ToolPage.aspx?tid=16883^","Big Friendly Giant (BFG) Repo-Cleaner")</f>
        <v>Big Friendly Giant (BFG) Repo-Cleaner</v>
      </c>
      <c r="B6929" s="4" t="s">
        <v>3830</v>
      </c>
      <c r="C6929" s="8" t="s">
        <v>5</v>
      </c>
      <c r="D6929" s="11" t="s">
        <v>714</v>
      </c>
    </row>
    <row r="6930" spans="1:4" ht="30">
      <c r="A6930" s="5" t="str">
        <f>HYPERLINK("https://www.oit.va.gov/Services/TRM/ToolPage.aspx?tid=16327^","CartTrak")</f>
        <v>CartTrak</v>
      </c>
      <c r="B6930" s="4" t="s">
        <v>945</v>
      </c>
      <c r="C6930" s="8" t="s">
        <v>5</v>
      </c>
      <c r="D6930" s="11" t="s">
        <v>946</v>
      </c>
    </row>
    <row r="6931" spans="1:4" ht="30">
      <c r="A6931" s="5" t="str">
        <f>HYPERLINK("https://www.oit.va.gov/Services/TRM/ToolPage.aspx?tid=6657^","RVTools")</f>
        <v>RVTools</v>
      </c>
      <c r="B6931" s="4" t="s">
        <v>7092</v>
      </c>
      <c r="C6931" s="8" t="s">
        <v>5</v>
      </c>
      <c r="D6931" s="11" t="s">
        <v>836</v>
      </c>
    </row>
    <row r="6932" spans="1:4" ht="30">
      <c r="A6932" s="5" t="str">
        <f>HYPERLINK("https://www.oit.va.gov/Services/TRM/ToolPage.aspx?tid=15279^","RocheDiabetes Care Platform Device Link")</f>
        <v>RocheDiabetes Care Platform Device Link</v>
      </c>
      <c r="B6932" s="4" t="s">
        <v>2923</v>
      </c>
      <c r="C6932" s="8" t="s">
        <v>5</v>
      </c>
      <c r="D6932" s="11" t="s">
        <v>2924</v>
      </c>
    </row>
    <row r="6933" spans="1:4" ht="30">
      <c r="A6933" s="5" t="str">
        <f>HYPERLINK("https://www.oit.va.gov/Services/TRM/ToolPage.aspx?tid=5866^","Accu-Chek 360 Diabetes Management System")</f>
        <v>Accu-Chek 360 Diabetes Management System</v>
      </c>
      <c r="B6933" s="4" t="s">
        <v>1265</v>
      </c>
      <c r="C6933" s="8" t="s">
        <v>5</v>
      </c>
      <c r="D6933" s="11" t="s">
        <v>1266</v>
      </c>
    </row>
    <row r="6934" spans="1:4" ht="30">
      <c r="A6934" s="5" t="str">
        <f>HYPERLINK("https://www.oit.va.gov/Services/TRM/ToolPage.aspx?tid=16570^","cobas infinity Point of Care (POC) solution")</f>
        <v>cobas infinity Point of Care (POC) solution</v>
      </c>
      <c r="B6934" s="4" t="s">
        <v>1265</v>
      </c>
      <c r="C6934" s="8" t="s">
        <v>5</v>
      </c>
      <c r="D6934" s="11" t="s">
        <v>2431</v>
      </c>
    </row>
    <row r="6935" spans="1:4" ht="30">
      <c r="A6935" s="5" t="str">
        <f>HYPERLINK("https://www.oit.va.gov/Services/TRM/ToolPage.aspx?tid=14056^","Cobas Infinity Laboratory Solution")</f>
        <v>Cobas Infinity Laboratory Solution</v>
      </c>
      <c r="B6935" s="4" t="s">
        <v>1265</v>
      </c>
      <c r="C6935" s="8" t="s">
        <v>5</v>
      </c>
      <c r="D6935" s="11" t="s">
        <v>3958</v>
      </c>
    </row>
    <row r="6936" spans="1:4" ht="30">
      <c r="A6936" s="5" t="str">
        <f>HYPERLINK("https://www.oit.va.gov/Services/TRM/ToolPage.aspx?tid=11250^","Cobas Blood Gas and Electrolyte (BGE) Link")</f>
        <v>Cobas Blood Gas and Electrolyte (BGE) Link</v>
      </c>
      <c r="B6936" s="4" t="s">
        <v>1265</v>
      </c>
      <c r="C6936" s="8" t="s">
        <v>5</v>
      </c>
      <c r="D6936" s="11" t="s">
        <v>6432</v>
      </c>
    </row>
    <row r="6937" spans="1:4" ht="30">
      <c r="A6937" s="5" t="str">
        <f>HYPERLINK("https://www.oit.va.gov/Services/TRM/ToolPage.aspx?tid=15839^","cobas omni Utility Channel")</f>
        <v>cobas omni Utility Channel</v>
      </c>
      <c r="B6937" s="4" t="s">
        <v>1265</v>
      </c>
      <c r="C6937" s="8" t="s">
        <v>5</v>
      </c>
      <c r="D6937" s="11" t="s">
        <v>6433</v>
      </c>
    </row>
    <row r="6938" spans="1:4" ht="30">
      <c r="A6938" s="5" t="str">
        <f>HYPERLINK("https://www.oit.va.gov/Services/TRM/ToolPage.aspx?tid=14816^","Cobas 6800/8800 Systems Archive Viewer")</f>
        <v>Cobas 6800/8800 Systems Archive Viewer</v>
      </c>
      <c r="B6938" s="4" t="s">
        <v>1265</v>
      </c>
      <c r="C6938" s="8" t="s">
        <v>5</v>
      </c>
      <c r="D6938" s="11" t="s">
        <v>3241</v>
      </c>
    </row>
    <row r="6939" spans="1:4" ht="30">
      <c r="A6939" s="5" t="str">
        <f>HYPERLINK("https://www.oit.va.gov/Services/TRM/ToolPage.aspx?tid=10182^","Cobas IT 1000")</f>
        <v>Cobas IT 1000</v>
      </c>
      <c r="B6939" s="4" t="s">
        <v>1265</v>
      </c>
      <c r="C6939" s="8" t="s">
        <v>5</v>
      </c>
      <c r="D6939" s="11" t="s">
        <v>1136</v>
      </c>
    </row>
    <row r="6940" spans="1:4" ht="30">
      <c r="A6940" s="5" t="str">
        <f>HYPERLINK("https://www.oit.va.gov/Services/TRM/ToolPage.aspx?tid=6511^","WebCRD")</f>
        <v>WebCRD</v>
      </c>
      <c r="B6940" s="4" t="s">
        <v>1125</v>
      </c>
      <c r="C6940" s="8" t="s">
        <v>5</v>
      </c>
      <c r="D6940" s="11" t="s">
        <v>1126</v>
      </c>
    </row>
    <row r="6941" spans="1:4" ht="30">
      <c r="A6941" s="5" t="str">
        <f>HYPERLINK("https://www.oit.va.gov/Services/TRM/ToolPage.aspx?tid=6509^","SurePDF")</f>
        <v>SurePDF</v>
      </c>
      <c r="B6941" s="4" t="s">
        <v>1125</v>
      </c>
      <c r="C6941" s="8" t="s">
        <v>5</v>
      </c>
      <c r="D6941" s="11" t="s">
        <v>1974</v>
      </c>
    </row>
    <row r="6942" spans="1:4" ht="30">
      <c r="A6942" s="5" t="str">
        <f>HYPERLINK("https://www.oit.va.gov/Services/TRM/ToolPage.aspx?tid=6505^","QDirect")</f>
        <v>QDirect</v>
      </c>
      <c r="B6942" s="4" t="s">
        <v>1125</v>
      </c>
      <c r="C6942" s="8" t="s">
        <v>5</v>
      </c>
      <c r="D6942" s="11" t="s">
        <v>3476</v>
      </c>
    </row>
    <row r="6943" spans="1:4" ht="30">
      <c r="A6943" s="5" t="str">
        <f>HYPERLINK("https://www.oit.va.gov/Services/TRM/ToolPage.aspx?tid=281^","Reflection Desktop")</f>
        <v>Reflection Desktop</v>
      </c>
      <c r="B6943" s="4" t="s">
        <v>48</v>
      </c>
      <c r="C6943" s="8" t="s">
        <v>5</v>
      </c>
      <c r="D6943" s="11" t="s">
        <v>49</v>
      </c>
    </row>
    <row r="6944" spans="1:4" ht="30">
      <c r="A6944" s="5" t="str">
        <f>HYPERLINK("https://www.oit.va.gov/Services/TRM/ToolPage.aspx?tid=9058^","Model 204 (M204)")</f>
        <v>Model 204 (M204)</v>
      </c>
      <c r="B6944" s="4" t="s">
        <v>48</v>
      </c>
      <c r="C6944" s="8" t="s">
        <v>5</v>
      </c>
      <c r="D6944" s="11" t="s">
        <v>95</v>
      </c>
    </row>
    <row r="6945" spans="1:4" ht="30">
      <c r="A6945" s="5" t="str">
        <f>HYPERLINK("https://www.oit.va.gov/Services/TRM/ToolPage.aspx?tid=11010^","Rocket Uniface")</f>
        <v>Rocket Uniface</v>
      </c>
      <c r="B6945" s="4" t="s">
        <v>48</v>
      </c>
      <c r="C6945" s="8" t="s">
        <v>5</v>
      </c>
      <c r="D6945" s="11" t="s">
        <v>257</v>
      </c>
    </row>
    <row r="6946" spans="1:4" ht="30">
      <c r="A6946" s="5" t="str">
        <f>HYPERLINK("https://www.oit.va.gov/Services/TRM/ToolPage.aspx?tid=8570^","Enterprise Output Solution (EOS) 360")</f>
        <v>Enterprise Output Solution (EOS) 360</v>
      </c>
      <c r="B6946" s="4" t="s">
        <v>48</v>
      </c>
      <c r="C6946" s="8" t="s">
        <v>5</v>
      </c>
      <c r="D6946" s="11" t="s">
        <v>514</v>
      </c>
    </row>
    <row r="6947" spans="1:4" ht="30">
      <c r="A6947" s="5" t="str">
        <f>HYPERLINK("https://www.oit.va.gov/Services/TRM/ToolPage.aspx?tid=8401^","Rocket Tape/Copy")</f>
        <v>Rocket Tape/Copy</v>
      </c>
      <c r="B6947" s="4" t="s">
        <v>48</v>
      </c>
      <c r="C6947" s="8" t="s">
        <v>5</v>
      </c>
      <c r="D6947" s="11" t="s">
        <v>534</v>
      </c>
    </row>
    <row r="6948" spans="1:4" ht="30">
      <c r="A6948" s="5" t="str">
        <f>HYPERLINK("https://www.oit.va.gov/Services/TRM/ToolPage.aspx?tid=8407^","DBOL (Database Online)")</f>
        <v>DBOL (Database Online)</v>
      </c>
      <c r="B6948" s="4" t="s">
        <v>48</v>
      </c>
      <c r="C6948" s="8" t="s">
        <v>5</v>
      </c>
      <c r="D6948" s="11" t="s">
        <v>965</v>
      </c>
    </row>
    <row r="6949" spans="1:4" ht="30">
      <c r="A6949" s="5" t="str">
        <f>HYPERLINK("https://www.oit.va.gov/Services/TRM/ToolPage.aspx?tid=9577^","JOB/SCAN")</f>
        <v>JOB/SCAN</v>
      </c>
      <c r="B6949" s="4" t="s">
        <v>48</v>
      </c>
      <c r="C6949" s="8" t="s">
        <v>5</v>
      </c>
      <c r="D6949" s="11" t="s">
        <v>1022</v>
      </c>
    </row>
    <row r="6950" spans="1:4" ht="30">
      <c r="A6950" s="5" t="str">
        <f>HYPERLINK("https://www.oit.va.gov/Services/TRM/ToolPage.aspx?tid=14658^","Rocket Insight")</f>
        <v>Rocket Insight</v>
      </c>
      <c r="B6950" s="4" t="s">
        <v>48</v>
      </c>
      <c r="C6950" s="8" t="s">
        <v>5</v>
      </c>
      <c r="D6950" s="11" t="s">
        <v>1093</v>
      </c>
    </row>
    <row r="6951" spans="1:4" ht="30">
      <c r="A6951" s="5" t="str">
        <f>HYPERLINK("https://www.oit.va.gov/Services/TRM/ToolPage.aspx?tid=9992^","Rocket Comparex")</f>
        <v>Rocket Comparex</v>
      </c>
      <c r="B6951" s="4" t="s">
        <v>48</v>
      </c>
      <c r="C6951" s="8" t="s">
        <v>5</v>
      </c>
      <c r="D6951" s="11" t="s">
        <v>183</v>
      </c>
    </row>
    <row r="6952" spans="1:4" ht="30">
      <c r="A6952" s="5" t="str">
        <f>HYPERLINK("https://www.oit.va.gov/Services/TRM/ToolPage.aspx?tid=14663^","Rocket SmartEdit")</f>
        <v>Rocket SmartEdit</v>
      </c>
      <c r="B6952" s="4" t="s">
        <v>48</v>
      </c>
      <c r="C6952" s="8" t="s">
        <v>5</v>
      </c>
      <c r="D6952" s="11" t="s">
        <v>2311</v>
      </c>
    </row>
    <row r="6953" spans="1:4" ht="30">
      <c r="A6953" s="5" t="str">
        <f>HYPERLINK("https://www.oit.va.gov/Services/TRM/ToolPage.aspx?tid=14643^","Rocket SmartTest")</f>
        <v>Rocket SmartTest</v>
      </c>
      <c r="B6953" s="4" t="s">
        <v>48</v>
      </c>
      <c r="C6953" s="8" t="s">
        <v>5</v>
      </c>
      <c r="D6953" s="11" t="s">
        <v>1197</v>
      </c>
    </row>
    <row r="6954" spans="1:4" ht="30">
      <c r="A6954" s="5" t="str">
        <f>HYPERLINK("https://www.oit.va.gov/Services/TRM/ToolPage.aspx?tid=9874^","Fast/Reload")</f>
        <v>Fast/Reload</v>
      </c>
      <c r="B6954" s="4" t="s">
        <v>48</v>
      </c>
      <c r="C6954" s="8" t="s">
        <v>5</v>
      </c>
      <c r="D6954" s="11" t="s">
        <v>3294</v>
      </c>
    </row>
    <row r="6955" spans="1:4" ht="30">
      <c r="A6955" s="5" t="str">
        <f>HYPERLINK("https://www.oit.va.gov/Services/TRM/ToolPage.aspx?tid=9875^","Fast/Unload Extraction Language (FUEL)")</f>
        <v>Fast/Unload Extraction Language (FUEL)</v>
      </c>
      <c r="B6955" s="4" t="s">
        <v>48</v>
      </c>
      <c r="C6955" s="8" t="s">
        <v>5</v>
      </c>
      <c r="D6955" s="11" t="s">
        <v>3295</v>
      </c>
    </row>
    <row r="6956" spans="1:4" ht="30">
      <c r="A6956" s="5" t="str">
        <f>HYPERLINK("https://www.oit.va.gov/Services/TRM/ToolPage.aspx?tid=9876^","Fast/Unload UAI")</f>
        <v>Fast/Unload UAI</v>
      </c>
      <c r="B6956" s="4" t="s">
        <v>48</v>
      </c>
      <c r="C6956" s="8" t="s">
        <v>5</v>
      </c>
      <c r="D6956" s="11" t="s">
        <v>3296</v>
      </c>
    </row>
    <row r="6957" spans="1:4" ht="30">
      <c r="A6957" s="5" t="str">
        <f>HYPERLINK("https://www.oit.va.gov/Services/TRM/ToolPage.aspx?tid=11668^","RockWare Geographic Information System (GIS) Link")</f>
        <v>RockWare Geographic Information System (GIS) Link</v>
      </c>
      <c r="B6957" s="4" t="s">
        <v>3495</v>
      </c>
      <c r="C6957" s="8" t="s">
        <v>5</v>
      </c>
      <c r="D6957" s="11" t="s">
        <v>3496</v>
      </c>
    </row>
    <row r="6958" spans="1:4" ht="30">
      <c r="A6958" s="5" t="str">
        <f>HYPERLINK("https://www.oit.va.gov/Services/TRM/ToolPage.aspx?tid=11622^","RockWorks17")</f>
        <v>RockWorks17</v>
      </c>
      <c r="B6958" s="4" t="s">
        <v>3495</v>
      </c>
      <c r="C6958" s="8" t="s">
        <v>5</v>
      </c>
      <c r="D6958" s="11" t="s">
        <v>3497</v>
      </c>
    </row>
    <row r="6959" spans="1:4" ht="30">
      <c r="A6959" s="5" t="str">
        <f>HYPERLINK("https://www.oit.va.gov/Services/TRM/ToolPage.aspx?tid=7430^","Arena Simulation")</f>
        <v>Arena Simulation</v>
      </c>
      <c r="B6959" s="4" t="s">
        <v>2089</v>
      </c>
      <c r="C6959" s="8" t="s">
        <v>5</v>
      </c>
      <c r="D6959" s="11" t="s">
        <v>2090</v>
      </c>
    </row>
    <row r="6960" spans="1:4" ht="30">
      <c r="A6960" s="5" t="str">
        <f>HYPERLINK("https://www.oit.va.gov/Services/TRM/ToolPage.aspx?tid=8516^","RSLogix 500")</f>
        <v>RSLogix 500</v>
      </c>
      <c r="B6960" s="4" t="s">
        <v>2089</v>
      </c>
      <c r="C6960" s="8" t="s">
        <v>5</v>
      </c>
      <c r="D6960" s="11" t="s">
        <v>3498</v>
      </c>
    </row>
    <row r="6961" spans="1:4" ht="30">
      <c r="A6961" s="5" t="str">
        <f>HYPERLINK("https://www.oit.va.gov/Services/TRM/ToolPage.aspx?tid=9081^","Studio 5000 Logix Designer")</f>
        <v>Studio 5000 Logix Designer</v>
      </c>
      <c r="B6961" s="4" t="s">
        <v>2089</v>
      </c>
      <c r="C6961" s="8" t="s">
        <v>5</v>
      </c>
      <c r="D6961" s="11" t="s">
        <v>7190</v>
      </c>
    </row>
    <row r="6962" spans="1:4" ht="30">
      <c r="A6962" s="5" t="str">
        <f>HYPERLINK("https://www.oit.va.gov/Services/TRM/ToolPage.aspx?tid=7358^","Rocky Mountain Cancer Data Systems (RMCDS)")</f>
        <v>Rocky Mountain Cancer Data Systems (RMCDS)</v>
      </c>
      <c r="B6962" s="4" t="s">
        <v>4748</v>
      </c>
      <c r="C6962" s="8" t="s">
        <v>5</v>
      </c>
      <c r="D6962" s="11" t="s">
        <v>3711</v>
      </c>
    </row>
    <row r="6963" spans="1:4" ht="30">
      <c r="A6963" s="5" t="str">
        <f>HYPERLINK("https://www.oit.va.gov/Services/TRM/ToolPage.aspx?tid=8640^","Rodin4D CADCAM Software")</f>
        <v>Rodin4D CADCAM Software</v>
      </c>
      <c r="B6963" s="4" t="s">
        <v>8577</v>
      </c>
      <c r="C6963" s="8" t="s">
        <v>5</v>
      </c>
      <c r="D6963" s="11" t="s">
        <v>3473</v>
      </c>
    </row>
    <row r="6964" spans="1:4" ht="30">
      <c r="A6964" s="5" t="str">
        <f>HYPERLINK("https://www.oit.va.gov/Services/TRM/ToolPage.aspx?tid=6128^","Client Center for Configuration Manager")</f>
        <v>Client Center for Configuration Manager</v>
      </c>
      <c r="B6964" s="4" t="s">
        <v>6422</v>
      </c>
      <c r="C6964" s="8" t="s">
        <v>5</v>
      </c>
      <c r="D6964" s="11" t="s">
        <v>3267</v>
      </c>
    </row>
    <row r="6965" spans="1:4" ht="30">
      <c r="A6965" s="5" t="str">
        <f>HYPERLINK("https://www.oit.va.gov/Services/TRM/ToolPage.aspx?tid=10942^","Collection Commander")</f>
        <v>Collection Commander</v>
      </c>
      <c r="B6965" s="4" t="s">
        <v>6422</v>
      </c>
      <c r="C6965" s="8" t="s">
        <v>5</v>
      </c>
      <c r="D6965" s="11" t="s">
        <v>7194</v>
      </c>
    </row>
    <row r="6966" spans="1:4" ht="30">
      <c r="A6966" s="5" t="str">
        <f>HYPERLINK("https://www.oit.va.gov/Services/TRM/ToolPage.aspx?tid=8446^","Brainsight Software for Transcranial Magnetic Stimulation (TMS)")</f>
        <v>Brainsight Software for Transcranial Magnetic Stimulation (TMS)</v>
      </c>
      <c r="B6966" s="4" t="s">
        <v>5078</v>
      </c>
      <c r="C6966" s="8" t="s">
        <v>5</v>
      </c>
      <c r="D6966" s="11" t="s">
        <v>5079</v>
      </c>
    </row>
    <row r="6967" spans="1:4" ht="30">
      <c r="A6967" s="5" t="str">
        <f>HYPERLINK("https://www.oit.va.gov/Services/TRM/ToolPage.aspx?tid=11429^","Tools.h++")</f>
        <v>Tools.h++</v>
      </c>
      <c r="B6967" s="4" t="s">
        <v>3026</v>
      </c>
      <c r="C6967" s="8" t="s">
        <v>5</v>
      </c>
      <c r="D6967" s="11" t="s">
        <v>3027</v>
      </c>
    </row>
    <row r="6968" spans="1:4" ht="30">
      <c r="A6968" s="5" t="str">
        <f>HYPERLINK("https://www.oit.va.gov/Services/TRM/ToolPage.aspx?tid=10529^","Dr. Engrave")</f>
        <v>Dr. Engrave</v>
      </c>
      <c r="B6968" s="4" t="s">
        <v>658</v>
      </c>
      <c r="C6968" s="8" t="s">
        <v>5</v>
      </c>
      <c r="D6968" s="11" t="s">
        <v>659</v>
      </c>
    </row>
    <row r="6969" spans="1:4" ht="30">
      <c r="A6969" s="5" t="str">
        <f>HYPERLINK("https://www.oit.va.gov/Services/TRM/ToolPage.aspx?tid=10748^","Roland 2.5D Driver")</f>
        <v>Roland 2.5D Driver</v>
      </c>
      <c r="B6969" s="4" t="s">
        <v>658</v>
      </c>
      <c r="C6969" s="8" t="s">
        <v>5</v>
      </c>
      <c r="D6969" s="11" t="s">
        <v>995</v>
      </c>
    </row>
    <row r="6970" spans="1:4" ht="30">
      <c r="A6970" s="5" t="str">
        <f>HYPERLINK("https://www.oit.va.gov/Services/TRM/ToolPage.aspx?tid=16841^","FlexiDESIGNER VeraSTUDIO Edition")</f>
        <v>FlexiDESIGNER VeraSTUDIO Edition</v>
      </c>
      <c r="B6970" s="4" t="s">
        <v>658</v>
      </c>
      <c r="C6970" s="8" t="s">
        <v>5</v>
      </c>
      <c r="D6970" s="11" t="s">
        <v>4137</v>
      </c>
    </row>
    <row r="6971" spans="1:4" ht="30">
      <c r="A6971" s="5" t="str">
        <f>HYPERLINK("https://www.oit.va.gov/Services/TRM/ToolPage.aspx?tid=16868^","Roland BN2 Utility")</f>
        <v>Roland BN2 Utility</v>
      </c>
      <c r="B6971" s="4" t="s">
        <v>658</v>
      </c>
      <c r="C6971" s="8" t="s">
        <v>5</v>
      </c>
      <c r="D6971" s="11" t="s">
        <v>4749</v>
      </c>
    </row>
    <row r="6972" spans="1:4" ht="30">
      <c r="A6972" s="5" t="str">
        <f>HYPERLINK("https://www.oit.va.gov/Services/TRM/ToolPage.aspx?tid=16867^","Roland DG Connect")</f>
        <v>Roland DG Connect</v>
      </c>
      <c r="B6972" s="4" t="s">
        <v>658</v>
      </c>
      <c r="C6972" s="8" t="s">
        <v>5</v>
      </c>
      <c r="D6972" s="11" t="s">
        <v>4749</v>
      </c>
    </row>
    <row r="6973" spans="1:4" ht="30">
      <c r="A6973" s="5" t="str">
        <f>HYPERLINK("https://www.oit.va.gov/Services/TRM/ToolPage.aspx?tid=10940^","VersaWorks")</f>
        <v>VersaWorks</v>
      </c>
      <c r="B6973" s="4" t="s">
        <v>658</v>
      </c>
      <c r="C6973" s="8" t="s">
        <v>5</v>
      </c>
      <c r="D6973" s="11" t="s">
        <v>4963</v>
      </c>
    </row>
    <row r="6974" spans="1:4" ht="30">
      <c r="A6974" s="5" t="str">
        <f>HYPERLINK("https://www.oit.va.gov/Services/TRM/ToolPage.aspx?tid=10568^","Roland Subtractive Rapid Prototyping (SRP) Player")</f>
        <v>Roland Subtractive Rapid Prototyping (SRP) Player</v>
      </c>
      <c r="B6974" s="4" t="s">
        <v>658</v>
      </c>
      <c r="C6974" s="8" t="s">
        <v>5</v>
      </c>
      <c r="D6974" s="11" t="s">
        <v>2426</v>
      </c>
    </row>
    <row r="6975" spans="1:4" ht="30">
      <c r="A6975" s="5" t="str">
        <f>HYPERLINK("https://www.oit.va.gov/Services/TRM/ToolPage.aspx?tid=8029^","Roland CutStudio")</f>
        <v>Roland CutStudio</v>
      </c>
      <c r="B6975" s="4" t="s">
        <v>658</v>
      </c>
      <c r="C6975" s="8" t="s">
        <v>5</v>
      </c>
      <c r="D6975" s="11" t="s">
        <v>215</v>
      </c>
    </row>
    <row r="6976" spans="1:4" ht="30">
      <c r="A6976" s="5" t="str">
        <f>HYPERLINK("https://www.oit.va.gov/Services/TRM/ToolPage.aspx?tid=10580^","VPanel")</f>
        <v>VPanel</v>
      </c>
      <c r="B6976" s="4" t="s">
        <v>658</v>
      </c>
      <c r="C6976" s="8" t="s">
        <v>5</v>
      </c>
      <c r="D6976" s="11" t="s">
        <v>5696</v>
      </c>
    </row>
    <row r="6977" spans="1:4" ht="30">
      <c r="A6977" s="5" t="str">
        <f>HYPERLINK("https://www.oit.va.gov/Services/TRM/ToolPage.aspx?tid=12880^","Jolokia")</f>
        <v>Jolokia</v>
      </c>
      <c r="B6977" s="4" t="s">
        <v>4315</v>
      </c>
      <c r="C6977" s="8" t="s">
        <v>5</v>
      </c>
      <c r="D6977" s="11" t="s">
        <v>90</v>
      </c>
    </row>
    <row r="6978" spans="1:4" ht="30">
      <c r="A6978" s="5" t="str">
        <f>HYPERLINK("https://www.oit.va.gov/Services/TRM/ToolPage.aspx?tid=13064^","icSpeech")</f>
        <v>icSpeech</v>
      </c>
      <c r="B6978" s="4" t="s">
        <v>4245</v>
      </c>
      <c r="C6978" s="8" t="s">
        <v>5</v>
      </c>
      <c r="D6978" s="11" t="s">
        <v>2745</v>
      </c>
    </row>
    <row r="6979" spans="1:4" ht="30">
      <c r="A6979" s="5" t="str">
        <f>HYPERLINK("https://www.oit.va.gov/Services/TRM/ToolPage.aspx?tid=8641^","Rosetta Stone")</f>
        <v>Rosetta Stone</v>
      </c>
      <c r="B6979" s="4" t="s">
        <v>258</v>
      </c>
      <c r="C6979" s="8" t="s">
        <v>5</v>
      </c>
      <c r="D6979" s="11" t="s">
        <v>259</v>
      </c>
    </row>
    <row r="6980" spans="1:4" ht="30">
      <c r="A6980" s="5" t="str">
        <f>HYPERLINK("https://www.oit.va.gov/Services/TRM/ToolPage.aspx?tid=9548^","EZPrompt")</f>
        <v>EZPrompt</v>
      </c>
      <c r="B6980" s="4" t="s">
        <v>3292</v>
      </c>
      <c r="C6980" s="8" t="s">
        <v>5</v>
      </c>
      <c r="D6980" s="11" t="s">
        <v>3293</v>
      </c>
    </row>
    <row r="6981" spans="1:4" ht="30">
      <c r="A6981" s="5" t="str">
        <f>HYPERLINK("https://www.oit.va.gov/Services/TRM/ToolPage.aspx?tid=15382^","Rotronic Monitoring Solutions (RMS)")</f>
        <v>Rotronic Monitoring Solutions (RMS)</v>
      </c>
      <c r="B6981" s="4" t="s">
        <v>4750</v>
      </c>
      <c r="C6981" s="8" t="s">
        <v>5</v>
      </c>
      <c r="D6981" s="11" t="s">
        <v>1898</v>
      </c>
    </row>
    <row r="6982" spans="1:4" ht="30">
      <c r="A6982" s="5" t="str">
        <f>HYPERLINK("https://www.oit.va.gov/Services/TRM/ToolPage.aspx?tid=6439^","RouteMatch Transportation Solution (TS)")</f>
        <v>RouteMatch Transportation Solution (TS)</v>
      </c>
      <c r="B6982" s="4" t="s">
        <v>8578</v>
      </c>
      <c r="C6982" s="8" t="s">
        <v>5</v>
      </c>
      <c r="D6982" s="11" t="s">
        <v>8579</v>
      </c>
    </row>
    <row r="6983" spans="1:4" ht="30">
      <c r="A6983" s="5" t="str">
        <f>HYPERLINK("https://www.oit.va.gov/Services/TRM/ToolPage.aspx?tid=14335^","Roxio Creator NXT")</f>
        <v>Roxio Creator NXT</v>
      </c>
      <c r="B6983" s="4" t="s">
        <v>6051</v>
      </c>
      <c r="C6983" s="8" t="s">
        <v>5</v>
      </c>
      <c r="D6983" s="11" t="s">
        <v>6052</v>
      </c>
    </row>
    <row r="6984" spans="1:4" ht="30">
      <c r="A6984" s="5" t="str">
        <f>HYPERLINK("https://www.oit.va.gov/Services/TRM/ToolPage.aspx?tid=11477^","MyDVD")</f>
        <v>MyDVD</v>
      </c>
      <c r="B6984" s="4" t="s">
        <v>6051</v>
      </c>
      <c r="C6984" s="8" t="s">
        <v>5</v>
      </c>
      <c r="D6984" s="11" t="s">
        <v>8296</v>
      </c>
    </row>
    <row r="6985" spans="1:4" ht="30">
      <c r="A6985" s="5" t="str">
        <f>HYPERLINK("https://www.oit.va.gov/Services/TRM/ToolPage.aspx?tid=13719^","RecordNow Audio")</f>
        <v>RecordNow Audio</v>
      </c>
      <c r="B6985" s="4" t="s">
        <v>6051</v>
      </c>
      <c r="C6985" s="8" t="s">
        <v>5</v>
      </c>
      <c r="D6985" s="11" t="s">
        <v>8543</v>
      </c>
    </row>
    <row r="6986" spans="1:4" ht="30">
      <c r="A6986" s="5" t="str">
        <f>HYPERLINK("https://www.oit.va.gov/Services/TRM/ToolPage.aspx?tid=11102^","Roxio PhotoShow")</f>
        <v>Roxio PhotoShow</v>
      </c>
      <c r="B6986" s="4" t="s">
        <v>6051</v>
      </c>
      <c r="C6986" s="8" t="s">
        <v>5</v>
      </c>
      <c r="D6986" s="11" t="s">
        <v>6690</v>
      </c>
    </row>
    <row r="6987" spans="1:4" ht="30">
      <c r="A6987" s="5" t="str">
        <f>HYPERLINK("https://www.oit.va.gov/Services/TRM/ToolPage.aspx?tid=13718^","Secure Burn")</f>
        <v>Secure Burn</v>
      </c>
      <c r="B6987" s="4" t="s">
        <v>6051</v>
      </c>
      <c r="C6987" s="8" t="s">
        <v>5</v>
      </c>
      <c r="D6987" s="11" t="s">
        <v>5601</v>
      </c>
    </row>
    <row r="6988" spans="1:4" ht="30">
      <c r="A6988" s="5" t="str">
        <f>HYPERLINK("https://www.oit.va.gov/Services/TRM/ToolPage.aspx?tid=7287^","Matheson Functional Capacity Evaluation (FCE)")</f>
        <v>Matheson Functional Capacity Evaluation (FCE)</v>
      </c>
      <c r="B6988" s="4" t="s">
        <v>1038</v>
      </c>
      <c r="C6988" s="8" t="s">
        <v>5</v>
      </c>
      <c r="D6988" s="11" t="s">
        <v>1039</v>
      </c>
    </row>
    <row r="6989" spans="1:4" ht="30">
      <c r="A6989" s="5" t="str">
        <f>HYPERLINK("https://www.oit.va.gov/Services/TRM/ToolPage.aspx?tid=14435^","Zotero Connector")</f>
        <v>Zotero Connector</v>
      </c>
      <c r="B6989" s="4" t="s">
        <v>5019</v>
      </c>
      <c r="C6989" s="8" t="s">
        <v>5</v>
      </c>
      <c r="D6989" s="11" t="s">
        <v>75</v>
      </c>
    </row>
    <row r="6990" spans="1:4" ht="30">
      <c r="A6990" s="5" t="str">
        <f>HYPERLINK("https://www.oit.va.gov/Services/TRM/ToolPage.aspx?tid=10115^","Royal TSX")</f>
        <v>Royal TSX</v>
      </c>
      <c r="B6990" s="4" t="s">
        <v>8580</v>
      </c>
      <c r="C6990" s="8" t="s">
        <v>5</v>
      </c>
      <c r="D6990" s="11" t="s">
        <v>8581</v>
      </c>
    </row>
    <row r="6991" spans="1:4" ht="30">
      <c r="A6991" s="5" t="str">
        <f>HYPERLINK("https://www.oit.va.gov/Services/TRM/ToolPage.aspx?tid=15786^","Mobile Mouse")</f>
        <v>Mobile Mouse</v>
      </c>
      <c r="B6991" s="4" t="s">
        <v>6884</v>
      </c>
      <c r="C6991" s="8" t="s">
        <v>5</v>
      </c>
      <c r="D6991" s="11" t="s">
        <v>6885</v>
      </c>
    </row>
    <row r="6992" spans="1:4" ht="30">
      <c r="A6992" s="5" t="str">
        <f>HYPERLINK("https://www.oit.va.gov/Services/TRM/ToolPage.aspx?tid=9976^","Access IT! Universal.NET")</f>
        <v>Access IT! Universal.NET</v>
      </c>
      <c r="B6992" s="4" t="s">
        <v>1134</v>
      </c>
      <c r="C6992" s="8" t="s">
        <v>5</v>
      </c>
      <c r="D6992" s="11" t="s">
        <v>1135</v>
      </c>
    </row>
    <row r="6993" spans="1:4" ht="30">
      <c r="A6993" s="5" t="str">
        <f>HYPERLINK("https://www.oit.va.gov/Services/TRM/ToolPage.aspx?tid=8403^","RSA Archer Enterprise and Operational Risk Management")</f>
        <v>RSA Archer Enterprise and Operational Risk Management</v>
      </c>
      <c r="B6993" s="4" t="s">
        <v>8582</v>
      </c>
      <c r="C6993" s="8" t="s">
        <v>5</v>
      </c>
      <c r="D6993" s="11" t="s">
        <v>1090</v>
      </c>
    </row>
    <row r="6994" spans="1:4" ht="30">
      <c r="A6994" s="5" t="str">
        <f>HYPERLINK("https://www.oit.va.gov/Services/TRM/ToolPage.aspx?tid=8501^","Shadow Communications Management Software (CMS) All-In-One Analytics")</f>
        <v>Shadow Communications Management Software (CMS) All-In-One Analytics</v>
      </c>
      <c r="B6994" s="4" t="s">
        <v>5503</v>
      </c>
      <c r="C6994" s="8" t="s">
        <v>5</v>
      </c>
      <c r="D6994" s="11" t="s">
        <v>5504</v>
      </c>
    </row>
    <row r="6995" spans="1:4" ht="30">
      <c r="A6995" s="5" t="str">
        <f>HYPERLINK("https://www.oit.va.gov/Services/TRM/ToolPage.aspx?tid=5929^","CostWorks Estimator")</f>
        <v>CostWorks Estimator</v>
      </c>
      <c r="B6995" s="4" t="s">
        <v>5739</v>
      </c>
      <c r="C6995" s="8" t="s">
        <v>5</v>
      </c>
      <c r="D6995" s="11" t="s">
        <v>4022</v>
      </c>
    </row>
    <row r="6996" spans="1:4" ht="30">
      <c r="A6996" s="5" t="str">
        <f>HYPERLINK("https://www.oit.va.gov/Services/TRM/StandardPage.aspx?tid=5497^","RadLex")</f>
        <v>RadLex</v>
      </c>
      <c r="B6996" s="4" t="s">
        <v>8529</v>
      </c>
      <c r="C6996" s="8" t="s">
        <v>5</v>
      </c>
      <c r="D6996" s="11" t="s">
        <v>694</v>
      </c>
    </row>
    <row r="6997" spans="1:4" ht="30">
      <c r="A6997" s="5" t="str">
        <f>HYPERLINK("https://www.oit.va.gov/Services/TRM/ToolPage.aspx?tid=8605^","RSSOwl")</f>
        <v>RSSOwl</v>
      </c>
      <c r="B6997" s="4" t="s">
        <v>5487</v>
      </c>
      <c r="C6997" s="8" t="s">
        <v>5</v>
      </c>
      <c r="D6997" s="11" t="s">
        <v>5488</v>
      </c>
    </row>
    <row r="6998" spans="1:4" ht="30">
      <c r="A6998" s="5" t="str">
        <f>HYPERLINK("https://www.oit.va.gov/Services/TRM/ToolPage.aspx?tid=16147^","RStudio Connect")</f>
        <v>RStudio Connect</v>
      </c>
      <c r="B6998" s="4" t="s">
        <v>2925</v>
      </c>
      <c r="C6998" s="8" t="s">
        <v>5</v>
      </c>
      <c r="D6998" s="11" t="s">
        <v>2926</v>
      </c>
    </row>
    <row r="6999" spans="1:4" ht="30">
      <c r="A6999" s="5" t="str">
        <f>HYPERLINK("https://www.oit.va.gov/Services/TRM/ToolPage.aspx?tid=13019^","R Markdown")</f>
        <v>R Markdown</v>
      </c>
      <c r="B6999" s="4" t="s">
        <v>2925</v>
      </c>
      <c r="C6999" s="8" t="s">
        <v>5</v>
      </c>
      <c r="D6999" s="11" t="s">
        <v>6782</v>
      </c>
    </row>
    <row r="7000" spans="1:4" ht="30">
      <c r="A7000" s="5" t="str">
        <f>HYPERLINK("https://www.oit.va.gov/Services/TRM/ToolPage.aspx?tid=16484^","Ocean Next")</f>
        <v>Ocean Next</v>
      </c>
      <c r="B7000" s="4" t="s">
        <v>4526</v>
      </c>
      <c r="C7000" s="8" t="s">
        <v>5</v>
      </c>
      <c r="D7000" s="11" t="s">
        <v>4527</v>
      </c>
    </row>
    <row r="7001" spans="1:4" ht="30">
      <c r="A7001" s="5" t="str">
        <f>HYPERLINK("https://www.oit.va.gov/Services/TRM/ToolPage.aspx?tid=6675^","R-Studio")</f>
        <v>R-Studio</v>
      </c>
      <c r="B7001" s="4" t="s">
        <v>535</v>
      </c>
      <c r="C7001" s="8" t="s">
        <v>5</v>
      </c>
      <c r="D7001" s="11" t="s">
        <v>536</v>
      </c>
    </row>
    <row r="7002" spans="1:4" ht="30">
      <c r="A7002" s="5" t="str">
        <f>HYPERLINK("https://www.oit.va.gov/Services/TRM/ToolPage.aspx?tid=14240^","QuerySurge")</f>
        <v>QuerySurge</v>
      </c>
      <c r="B7002" s="4" t="s">
        <v>5459</v>
      </c>
      <c r="C7002" s="8" t="s">
        <v>5</v>
      </c>
      <c r="D7002" s="11" t="s">
        <v>5460</v>
      </c>
    </row>
    <row r="7003" spans="1:4" ht="30">
      <c r="A7003" s="5" t="str">
        <f>HYPERLINK("https://www.oit.va.gov/Services/TRM/ToolPage.aspx?tid=13595^","Rubberduck")</f>
        <v>Rubberduck</v>
      </c>
      <c r="B7003" s="4" t="s">
        <v>7090</v>
      </c>
      <c r="C7003" s="8" t="s">
        <v>5</v>
      </c>
      <c r="D7003" s="11" t="s">
        <v>7091</v>
      </c>
    </row>
    <row r="7004" spans="1:4" ht="30">
      <c r="A7004" s="5" t="str">
        <f>HYPERLINK("https://www.oit.va.gov/Services/TRM/StandardPage.aspx?tid=6999^","Ruby")</f>
        <v>Ruby</v>
      </c>
      <c r="B7004" s="4" t="s">
        <v>1904</v>
      </c>
      <c r="C7004" s="8" t="s">
        <v>5</v>
      </c>
      <c r="D7004" s="11" t="s">
        <v>1905</v>
      </c>
    </row>
    <row r="7005" spans="1:4" ht="30">
      <c r="A7005" s="5" t="str">
        <f>HYPERLINK("https://www.oit.va.gov/Services/TRM/ToolPage.aspx?tid=7872^","Rake")</f>
        <v>Rake</v>
      </c>
      <c r="B7005" s="4" t="s">
        <v>2304</v>
      </c>
      <c r="C7005" s="8" t="s">
        <v>5</v>
      </c>
      <c r="D7005" s="11" t="s">
        <v>2305</v>
      </c>
    </row>
    <row r="7006" spans="1:4" ht="30">
      <c r="A7006" s="5" t="str">
        <f>HYPERLINK("https://www.oit.va.gov/Services/TRM/ToolPage.aspx?tid=8187^","Adenosine triphosphate (ATP) Complete")</f>
        <v>Adenosine triphosphate (ATP) Complete</v>
      </c>
      <c r="B7006" s="4" t="s">
        <v>1281</v>
      </c>
      <c r="C7006" s="8" t="s">
        <v>5</v>
      </c>
      <c r="D7006" s="11" t="s">
        <v>1282</v>
      </c>
    </row>
    <row r="7007" spans="1:4" ht="30">
      <c r="A7007" s="5" t="str">
        <f>HYPERLINK("https://www.oit.va.gov/Services/TRM/ToolPage.aspx?tid=11272^","Gulp-Mocha-PhantomJS")</f>
        <v>Gulp-Mocha-PhantomJS</v>
      </c>
      <c r="B7007" s="4" t="s">
        <v>8007</v>
      </c>
      <c r="C7007" s="8" t="s">
        <v>5</v>
      </c>
      <c r="D7007" s="11" t="s">
        <v>5811</v>
      </c>
    </row>
    <row r="7008" spans="1:4" ht="30">
      <c r="A7008" s="5" t="str">
        <f>HYPERLINK("https://www.oit.va.gov/Services/TRM/ToolPage.aspx?tid=14041^","Silent Install Helper")</f>
        <v>Silent Install Helper</v>
      </c>
      <c r="B7008" s="4" t="s">
        <v>8652</v>
      </c>
      <c r="C7008" s="8" t="s">
        <v>5</v>
      </c>
      <c r="D7008" s="11" t="s">
        <v>8653</v>
      </c>
    </row>
    <row r="7009" spans="1:4" ht="30">
      <c r="A7009" s="5" t="str">
        <f>HYPERLINK("https://www.oit.va.gov/Services/TRM/ToolPage.aspx?tid=5814^","HttpUnit")</f>
        <v>HttpUnit</v>
      </c>
      <c r="B7009" s="4" t="s">
        <v>3324</v>
      </c>
      <c r="C7009" s="8" t="s">
        <v>5</v>
      </c>
      <c r="D7009" s="11" t="s">
        <v>3325</v>
      </c>
    </row>
    <row r="7010" spans="1:4" ht="30">
      <c r="A7010" s="5" t="str">
        <f>HYPERLINK("https://www.oit.va.gov/Services/TRM/ToolPage.aspx?tid=16005^","Rust")</f>
        <v>Rust</v>
      </c>
      <c r="B7010" s="4" t="s">
        <v>2927</v>
      </c>
      <c r="C7010" s="8" t="s">
        <v>5</v>
      </c>
      <c r="D7010" s="11" t="s">
        <v>2928</v>
      </c>
    </row>
    <row r="7011" spans="1:4" ht="30">
      <c r="A7011" s="5" t="str">
        <f>HYPERLINK("https://www.oit.va.gov/Services/TRM/ToolPage.aspx?tid=9335^","Track`Em")</f>
        <v>Track`Em</v>
      </c>
      <c r="B7011" s="4" t="s">
        <v>3131</v>
      </c>
      <c r="C7011" s="8" t="s">
        <v>5</v>
      </c>
      <c r="D7011" s="11" t="s">
        <v>2019</v>
      </c>
    </row>
    <row r="7012" spans="1:4" ht="30">
      <c r="A7012" s="5" t="str">
        <f>HYPERLINK("https://www.oit.va.gov/Services/TRM/ToolPage.aspx?tid=16550^","ABG Systems (ABGSYS) One")</f>
        <v>ABG Systems (ABGSYS) One</v>
      </c>
      <c r="B7012" s="4" t="s">
        <v>3691</v>
      </c>
      <c r="C7012" s="8" t="s">
        <v>5</v>
      </c>
      <c r="D7012" s="11" t="s">
        <v>3692</v>
      </c>
    </row>
    <row r="7013" spans="1:4" ht="30">
      <c r="A7013" s="5" t="str">
        <f>HYPERLINK("https://www.oit.va.gov/Services/TRM/ToolPage.aspx?tid=16659^","Basic Unit-Transposable Text Experimentation Resource (BUTTER)")</f>
        <v>Basic Unit-Transposable Text Experimentation Resource (BUTTER)</v>
      </c>
      <c r="B7013" s="4" t="s">
        <v>6330</v>
      </c>
      <c r="C7013" s="8" t="s">
        <v>5</v>
      </c>
      <c r="D7013" s="11" t="s">
        <v>6331</v>
      </c>
    </row>
    <row r="7014" spans="1:4" ht="30">
      <c r="A7014" s="5" t="str">
        <f>HYPERLINK("https://www.oit.va.gov/Services/TRM/ToolPage.aspx?tid=16032^","s3fs-fuse")</f>
        <v>s3fs-fuse</v>
      </c>
      <c r="B7014" s="4" t="s">
        <v>8587</v>
      </c>
      <c r="C7014" s="8" t="s">
        <v>5</v>
      </c>
      <c r="D7014" s="11" t="s">
        <v>2965</v>
      </c>
    </row>
    <row r="7015" spans="1:4" ht="30">
      <c r="A7015" s="5" t="str">
        <f>HYPERLINK("https://www.oit.va.gov/Services/TRM/ToolPage.aspx?tid=11468^","Amazon Simple Storage Service (S3) Command Line Client")</f>
        <v>Amazon Simple Storage Service (S3) Command Line Client</v>
      </c>
      <c r="B7015" s="4" t="s">
        <v>920</v>
      </c>
      <c r="C7015" s="8" t="s">
        <v>5</v>
      </c>
      <c r="D7015" s="11" t="s">
        <v>921</v>
      </c>
    </row>
    <row r="7016" spans="1:4" ht="30">
      <c r="A7016" s="5" t="str">
        <f>HYPERLINK("https://www.oit.va.gov/Services/TRM/ToolPage.aspx?tid=7569^","SAi Flexi Complete")</f>
        <v>SAi Flexi Complete</v>
      </c>
      <c r="B7016" s="4" t="s">
        <v>4753</v>
      </c>
      <c r="C7016" s="8" t="s">
        <v>5</v>
      </c>
      <c r="D7016" s="11" t="s">
        <v>2647</v>
      </c>
    </row>
    <row r="7017" spans="1:4" ht="30">
      <c r="A7017" s="5" t="str">
        <f>HYPERLINK("https://www.oit.va.gov/Services/TRM/ToolPage.aspx?tid=7503^","FME Desktop")</f>
        <v>FME Desktop</v>
      </c>
      <c r="B7017" s="4" t="s">
        <v>1551</v>
      </c>
      <c r="C7017" s="8" t="s">
        <v>5</v>
      </c>
      <c r="D7017" s="11" t="s">
        <v>1552</v>
      </c>
    </row>
    <row r="7018" spans="1:4" ht="30">
      <c r="A7018" s="5" t="str">
        <f>HYPERLINK("https://www.oit.va.gov/Services/TRM/ToolPage.aspx?tid=5731^","Spybot - Search and Destroy")</f>
        <v>Spybot - Search and Destroy</v>
      </c>
      <c r="B7018" s="4" t="s">
        <v>2316</v>
      </c>
      <c r="C7018" s="8" t="s">
        <v>5</v>
      </c>
      <c r="D7018" s="11" t="s">
        <v>2317</v>
      </c>
    </row>
    <row r="7019" spans="1:4" ht="30">
      <c r="A7019" s="5" t="str">
        <f>HYPERLINK("https://www.oit.va.gov/Services/TRM/ToolPage.aspx?tid=9076^","Sage 50 Accounting")</f>
        <v>Sage 50 Accounting</v>
      </c>
      <c r="B7019" s="4" t="s">
        <v>7094</v>
      </c>
      <c r="C7019" s="8" t="s">
        <v>5</v>
      </c>
      <c r="D7019" s="11" t="s">
        <v>4687</v>
      </c>
    </row>
    <row r="7020" spans="1:4" ht="30">
      <c r="A7020" s="5" t="str">
        <f>HYPERLINK("https://www.oit.va.gov/Services/TRM/ToolPage.aspx?tid=7596^","SailPoint Technologies Fundamentals of IdentityIQ Implementation")</f>
        <v>SailPoint Technologies Fundamentals of IdentityIQ Implementation</v>
      </c>
      <c r="B7020" s="4" t="s">
        <v>7095</v>
      </c>
      <c r="C7020" s="8" t="s">
        <v>5</v>
      </c>
      <c r="D7020" s="11" t="s">
        <v>7096</v>
      </c>
    </row>
    <row r="7021" spans="1:4" ht="30">
      <c r="A7021" s="5" t="str">
        <f>HYPERLINK("https://www.oit.va.gov/Services/TRM/ToolPage.aspx?tid=11535^","Data Envelopment Analysis (DEA)-Solver Pro")</f>
        <v>Data Envelopment Analysis (DEA)-Solver Pro</v>
      </c>
      <c r="B7021" s="4" t="s">
        <v>7728</v>
      </c>
      <c r="C7021" s="8" t="s">
        <v>5</v>
      </c>
      <c r="D7021" s="11" t="s">
        <v>7729</v>
      </c>
    </row>
    <row r="7022" spans="1:4" ht="30">
      <c r="A7022" s="5" t="str">
        <f>HYPERLINK("https://www.oit.va.gov/Services/TRM/ToolPage.aspx?tid=8089^","Sakai Distance Learning")</f>
        <v>Sakai Distance Learning</v>
      </c>
      <c r="B7022" s="4" t="s">
        <v>7097</v>
      </c>
      <c r="C7022" s="8" t="s">
        <v>5</v>
      </c>
      <c r="D7022" s="11" t="s">
        <v>7098</v>
      </c>
    </row>
    <row r="7023" spans="1:4" ht="30">
      <c r="A7023" s="5" t="str">
        <f>HYPERLINK("https://www.oit.va.gov/Services/TRM/ToolPage.aspx?tid=11221^","Tissue-Tek SmartWrite Software")</f>
        <v>Tissue-Tek SmartWrite Software</v>
      </c>
      <c r="B7023" s="4" t="s">
        <v>8810</v>
      </c>
      <c r="C7023" s="8" t="s">
        <v>5</v>
      </c>
      <c r="D7023" s="11" t="s">
        <v>3244</v>
      </c>
    </row>
    <row r="7024" spans="1:4" ht="30">
      <c r="A7024" s="5" t="str">
        <f>HYPERLINK("https://www.oit.va.gov/Services/TRM/ToolPage.aspx?tid=16809^","Salesforce Code Analyzer")</f>
        <v>Salesforce Code Analyzer</v>
      </c>
      <c r="B7024" s="4" t="s">
        <v>1908</v>
      </c>
      <c r="C7024" s="8" t="s">
        <v>5</v>
      </c>
      <c r="D7024" s="11" t="s">
        <v>603</v>
      </c>
    </row>
    <row r="7025" spans="1:4" ht="30">
      <c r="A7025" s="5" t="str">
        <f>HYPERLINK("https://www.oit.va.gov/Services/TRM/ToolPage.aspx?tid=10155^","Salesforce Data Loader")</f>
        <v>Salesforce Data Loader</v>
      </c>
      <c r="B7025" s="4" t="s">
        <v>1908</v>
      </c>
      <c r="C7025" s="8" t="s">
        <v>5</v>
      </c>
      <c r="D7025" s="11" t="s">
        <v>1909</v>
      </c>
    </row>
    <row r="7026" spans="1:4" ht="30">
      <c r="A7026" s="5" t="str">
        <f>HYPERLINK("https://www.oit.va.gov/Services/TRM/ToolPage.aspx?tid=8991^","Connect for Office")</f>
        <v>Connect for Office</v>
      </c>
      <c r="B7026" s="4" t="s">
        <v>1908</v>
      </c>
      <c r="C7026" s="8" t="s">
        <v>5</v>
      </c>
      <c r="D7026" s="11" t="s">
        <v>3106</v>
      </c>
    </row>
    <row r="7027" spans="1:4" ht="30">
      <c r="A7027" s="5" t="str">
        <f>HYPERLINK("https://www.oit.va.gov/Services/TRM/ToolPage.aspx?tid=9045^","Salesforce for Outlook")</f>
        <v>Salesforce for Outlook</v>
      </c>
      <c r="B7027" s="4" t="s">
        <v>1908</v>
      </c>
      <c r="C7027" s="8" t="s">
        <v>5</v>
      </c>
      <c r="D7027" s="11" t="s">
        <v>4754</v>
      </c>
    </row>
    <row r="7028" spans="1:4" ht="30">
      <c r="A7028" s="5" t="str">
        <f>HYPERLINK("https://www.oit.va.gov/Services/TRM/ToolPage.aspx?tid=16850^","Salesforce Code Analyzer for Visual Studio Code")</f>
        <v>Salesforce Code Analyzer for Visual Studio Code</v>
      </c>
      <c r="B7028" s="4" t="s">
        <v>1908</v>
      </c>
      <c r="C7028" s="8" t="s">
        <v>5</v>
      </c>
      <c r="D7028" s="11" t="s">
        <v>4409</v>
      </c>
    </row>
    <row r="7029" spans="1:4" ht="30">
      <c r="A7029" s="5" t="str">
        <f>HYPERLINK("https://www.oit.va.gov/Services/TRM/ToolPage.aspx?tid=14032^","Command Line Interface (CLI) for Salesforce")</f>
        <v>Command Line Interface (CLI) for Salesforce</v>
      </c>
      <c r="B7029" s="4" t="s">
        <v>1908</v>
      </c>
      <c r="C7029" s="8" t="s">
        <v>5</v>
      </c>
      <c r="D7029" s="11" t="s">
        <v>6443</v>
      </c>
    </row>
    <row r="7030" spans="1:4" ht="30">
      <c r="A7030" s="5" t="str">
        <f>HYPERLINK("https://www.oit.va.gov/Services/TRM/ToolPage.aspx?tid=15375^","Salesforce Chatter Desktop")</f>
        <v>Salesforce Chatter Desktop</v>
      </c>
      <c r="B7030" s="4" t="s">
        <v>1908</v>
      </c>
      <c r="C7030" s="8" t="s">
        <v>5</v>
      </c>
      <c r="D7030" s="11" t="s">
        <v>7099</v>
      </c>
    </row>
    <row r="7031" spans="1:4" ht="30">
      <c r="A7031" s="5" t="str">
        <f>HYPERLINK("https://www.oit.va.gov/Services/TRM/ToolPage.aspx?tid=7470^","Heroku Command Line Interface (CLI)")</f>
        <v>Heroku Command Line Interface (CLI)</v>
      </c>
      <c r="B7031" s="4" t="s">
        <v>1908</v>
      </c>
      <c r="C7031" s="8" t="s">
        <v>5</v>
      </c>
      <c r="D7031" s="11" t="s">
        <v>6658</v>
      </c>
    </row>
    <row r="7032" spans="1:4" ht="30">
      <c r="A7032" s="5" t="str">
        <f>HYPERLINK("https://www.oit.va.gov/Services/TRM/ToolPage.aspx?tid=15599^","Salient Systems CompleteView")</f>
        <v>Salient Systems CompleteView</v>
      </c>
      <c r="B7032" s="4" t="s">
        <v>1910</v>
      </c>
      <c r="C7032" s="8" t="s">
        <v>5</v>
      </c>
      <c r="D7032" s="11" t="s">
        <v>1911</v>
      </c>
    </row>
    <row r="7033" spans="1:4" ht="30">
      <c r="A7033" s="5" t="str">
        <f>HYPERLINK("https://www.oit.va.gov/Services/TRM/ToolPage.aspx?tid=13105^","Think &amp; Do")</f>
        <v>Think &amp; Do</v>
      </c>
      <c r="B7033" s="4" t="s">
        <v>6109</v>
      </c>
      <c r="C7033" s="8" t="s">
        <v>5</v>
      </c>
      <c r="D7033" s="11" t="s">
        <v>883</v>
      </c>
    </row>
    <row r="7034" spans="1:4" ht="30">
      <c r="A7034" s="5" t="str">
        <f>HYPERLINK("https://www.oit.va.gov/Services/TRM/ToolPage.aspx?tid=13034^","ProAccess Space")</f>
        <v>ProAccess Space</v>
      </c>
      <c r="B7034" s="4" t="s">
        <v>1866</v>
      </c>
      <c r="C7034" s="8" t="s">
        <v>5</v>
      </c>
      <c r="D7034" s="11" t="s">
        <v>1867</v>
      </c>
    </row>
    <row r="7035" spans="1:4" ht="30">
      <c r="A7035" s="5" t="str">
        <f>HYPERLINK("https://www.oit.va.gov/Services/TRM/ToolPage.aspx?tid=9466^","Salt")</f>
        <v>Salt</v>
      </c>
      <c r="B7035" s="4" t="s">
        <v>835</v>
      </c>
      <c r="C7035" s="8" t="s">
        <v>5</v>
      </c>
      <c r="D7035" s="11" t="s">
        <v>836</v>
      </c>
    </row>
    <row r="7036" spans="1:4" ht="30">
      <c r="A7036" s="5" t="str">
        <f>HYPERLINK("https://www.oit.va.gov/Services/TRM/ToolPage.aspx?tid=9043^","Mustache")</f>
        <v>Mustache</v>
      </c>
      <c r="B7036" s="4" t="s">
        <v>526</v>
      </c>
      <c r="C7036" s="8" t="s">
        <v>5</v>
      </c>
      <c r="D7036" s="11" t="s">
        <v>527</v>
      </c>
    </row>
    <row r="7037" spans="1:4" ht="30">
      <c r="A7037" s="5" t="str">
        <f>HYPERLINK("https://www.oit.va.gov/Services/TRM/ToolPage.aspx?tid=10929^","CompileSass")</f>
        <v>CompileSass</v>
      </c>
      <c r="B7037" s="4" t="s">
        <v>5114</v>
      </c>
      <c r="C7037" s="8" t="s">
        <v>5</v>
      </c>
      <c r="D7037" s="11" t="s">
        <v>2387</v>
      </c>
    </row>
    <row r="7038" spans="1:4" ht="30">
      <c r="A7038" s="5" t="str">
        <f>HYPERLINK("https://www.oit.va.gov/Services/TRM/ToolPage.aspx?tid=16192^","SAMBA")</f>
        <v>SAMBA</v>
      </c>
      <c r="B7038" s="4" t="s">
        <v>7100</v>
      </c>
      <c r="C7038" s="8" t="s">
        <v>5</v>
      </c>
      <c r="D7038" s="11" t="s">
        <v>203</v>
      </c>
    </row>
    <row r="7039" spans="1:4" ht="30">
      <c r="A7039" s="5" t="str">
        <f>HYPERLINK("https://www.oit.va.gov/Services/TRM/ToolPage.aspx?tid=6901^","Java Common Internet File System Client Library (JCIFS)")</f>
        <v>Java Common Internet File System Client Library (JCIFS)</v>
      </c>
      <c r="B7039" s="4" t="s">
        <v>7100</v>
      </c>
      <c r="C7039" s="8" t="s">
        <v>5</v>
      </c>
      <c r="D7039" s="11" t="s">
        <v>7604</v>
      </c>
    </row>
    <row r="7040" spans="1:4" ht="30">
      <c r="A7040" s="5" t="str">
        <f>HYPERLINK("https://www.oit.va.gov/Services/TRM/ToolPage.aspx?tid=13058^","SAMBUQ")</f>
        <v>SAMBUQ</v>
      </c>
      <c r="B7040" s="4" t="s">
        <v>8589</v>
      </c>
      <c r="C7040" s="8" t="s">
        <v>5</v>
      </c>
      <c r="D7040" s="11" t="s">
        <v>8590</v>
      </c>
    </row>
    <row r="7041" spans="1:4" ht="30">
      <c r="A7041" s="5" t="str">
        <f>HYPERLINK("https://www.oit.va.gov/Services/TRM/ToolPage.aspx?tid=15778^","MagicINFO")</f>
        <v>MagicINFO</v>
      </c>
      <c r="B7041" s="4" t="s">
        <v>1706</v>
      </c>
      <c r="C7041" s="8" t="s">
        <v>5</v>
      </c>
      <c r="D7041" s="11" t="s">
        <v>1707</v>
      </c>
    </row>
    <row r="7042" spans="1:4" ht="30">
      <c r="A7042" s="5" t="str">
        <f>HYPERLINK("https://www.oit.va.gov/Services/TRM/ToolPage.aspx?tid=10373^","Samsung Easy Printer Manager")</f>
        <v>Samsung Easy Printer Manager</v>
      </c>
      <c r="B7042" s="4" t="s">
        <v>1706</v>
      </c>
      <c r="C7042" s="8" t="s">
        <v>5</v>
      </c>
      <c r="D7042" s="11" t="s">
        <v>2930</v>
      </c>
    </row>
    <row r="7043" spans="1:4" ht="30">
      <c r="A7043" s="5" t="str">
        <f>HYPERLINK("https://www.oit.va.gov/Services/TRM/ToolPage.aspx?tid=15962^","Samsung Magician Software")</f>
        <v>Samsung Magician Software</v>
      </c>
      <c r="B7043" s="4" t="s">
        <v>1706</v>
      </c>
      <c r="C7043" s="8" t="s">
        <v>5</v>
      </c>
      <c r="D7043" s="11" t="s">
        <v>2928</v>
      </c>
    </row>
    <row r="7044" spans="1:4" ht="30">
      <c r="A7044" s="5" t="str">
        <f>HYPERLINK("https://www.oit.va.gov/Services/TRM/ToolPage.aspx?tid=16401^","Samsung Printer Center")</f>
        <v>Samsung Printer Center</v>
      </c>
      <c r="B7044" s="4" t="s">
        <v>1706</v>
      </c>
      <c r="C7044" s="8" t="s">
        <v>5</v>
      </c>
      <c r="D7044" s="11" t="s">
        <v>77</v>
      </c>
    </row>
    <row r="7045" spans="1:4" ht="30">
      <c r="A7045" s="5" t="str">
        <f>HYPERLINK("https://www.oit.va.gov/Services/TRM/ToolPage.aspx?tid=16400^","Samsung Printer Diagnostics")</f>
        <v>Samsung Printer Diagnostics</v>
      </c>
      <c r="B7045" s="4" t="s">
        <v>1706</v>
      </c>
      <c r="C7045" s="8" t="s">
        <v>5</v>
      </c>
      <c r="D7045" s="11" t="s">
        <v>77</v>
      </c>
    </row>
    <row r="7046" spans="1:4" ht="30">
      <c r="A7046" s="5" t="str">
        <f>HYPERLINK("https://www.oit.va.gov/Services/TRM/ToolPage.aspx?tid=11502^","MagicInfo Express")</f>
        <v>MagicInfo Express</v>
      </c>
      <c r="B7046" s="4" t="s">
        <v>1706</v>
      </c>
      <c r="C7046" s="8" t="s">
        <v>5</v>
      </c>
      <c r="D7046" s="11" t="s">
        <v>6811</v>
      </c>
    </row>
    <row r="7047" spans="1:4" ht="30">
      <c r="A7047" s="5" t="str">
        <f>HYPERLINK("https://www.oit.va.gov/Services/TRM/ToolPage.aspx?tid=14027^","Samsung Cloud Print")</f>
        <v>Samsung Cloud Print</v>
      </c>
      <c r="B7047" s="4" t="s">
        <v>1706</v>
      </c>
      <c r="C7047" s="8" t="s">
        <v>5</v>
      </c>
      <c r="D7047" s="11" t="s">
        <v>7101</v>
      </c>
    </row>
    <row r="7048" spans="1:4" ht="30">
      <c r="A7048" s="5" t="str">
        <f>HYPERLINK("https://www.oit.va.gov/Services/TRM/ToolPage.aspx?tid=16404^","Samsung Network Personal Computer (PC) Fax")</f>
        <v>Samsung Network Personal Computer (PC) Fax</v>
      </c>
      <c r="B7048" s="4" t="s">
        <v>1706</v>
      </c>
      <c r="C7048" s="8" t="s">
        <v>5</v>
      </c>
      <c r="D7048" s="11" t="s">
        <v>7102</v>
      </c>
    </row>
    <row r="7049" spans="1:4" ht="30">
      <c r="A7049" s="5" t="str">
        <f>HYPERLINK("https://www.oit.va.gov/Services/TRM/ToolPage.aspx?tid=13699^","Samsung Easy Setting Box")</f>
        <v>Samsung Easy Setting Box</v>
      </c>
      <c r="B7049" s="4" t="s">
        <v>1706</v>
      </c>
      <c r="C7049" s="8" t="s">
        <v>5</v>
      </c>
      <c r="D7049" s="11" t="s">
        <v>1276</v>
      </c>
    </row>
    <row r="7050" spans="1:4" ht="30">
      <c r="A7050" s="5" t="str">
        <f>HYPERLINK("https://www.oit.va.gov/Services/TRM/ToolPage.aspx?tid=16405^","Samsung Optical Character Recognition (OCR) Software")</f>
        <v>Samsung Optical Character Recognition (OCR) Software</v>
      </c>
      <c r="B7050" s="4" t="s">
        <v>1706</v>
      </c>
      <c r="C7050" s="8" t="s">
        <v>5</v>
      </c>
      <c r="D7050" s="11" t="s">
        <v>7102</v>
      </c>
    </row>
    <row r="7051" spans="1:4" ht="30">
      <c r="A7051" s="5" t="str">
        <f>HYPERLINK("https://www.oit.va.gov/Services/TRM/ToolPage.aspx?tid=16409^","Samsung Printer Live Update")</f>
        <v>Samsung Printer Live Update</v>
      </c>
      <c r="B7051" s="4" t="s">
        <v>1706</v>
      </c>
      <c r="C7051" s="8" t="s">
        <v>5</v>
      </c>
      <c r="D7051" s="11" t="s">
        <v>8591</v>
      </c>
    </row>
    <row r="7052" spans="1:4" ht="30">
      <c r="A7052" s="5" t="str">
        <f>HYPERLINK("https://www.oit.va.gov/Services/TRM/ToolPage.aspx?tid=11425^","Scan Assistant")</f>
        <v>Scan Assistant</v>
      </c>
      <c r="B7052" s="4" t="s">
        <v>1706</v>
      </c>
      <c r="C7052" s="8" t="s">
        <v>5</v>
      </c>
      <c r="D7052" s="11" t="s">
        <v>8299</v>
      </c>
    </row>
    <row r="7053" spans="1:4" ht="30">
      <c r="A7053" s="5" t="str">
        <f>HYPERLINK("https://www.oit.va.gov/Services/TRM/ToolPage.aspx?tid=11671^","SmarThru Office")</f>
        <v>SmarThru Office</v>
      </c>
      <c r="B7053" s="4" t="s">
        <v>1706</v>
      </c>
      <c r="C7053" s="8" t="s">
        <v>5</v>
      </c>
      <c r="D7053" s="11" t="s">
        <v>7016</v>
      </c>
    </row>
    <row r="7054" spans="1:4" ht="30">
      <c r="A7054" s="5" t="str">
        <f>HYPERLINK("https://www.oit.va.gov/Services/TRM/ToolPage.aspx?tid=15023^","Idle Notification and Action Tool")</f>
        <v>Idle Notification and Action Tool</v>
      </c>
      <c r="B7054" s="4" t="s">
        <v>6706</v>
      </c>
      <c r="C7054" s="8" t="s">
        <v>5</v>
      </c>
      <c r="D7054" s="11" t="s">
        <v>1240</v>
      </c>
    </row>
    <row r="7055" spans="1:4" ht="30">
      <c r="A7055" s="5" t="str">
        <f>HYPERLINK("https://www.oit.va.gov/Services/TRM/ToolPage.aspx?tid=16490^","Gimmal Physical")</f>
        <v>Gimmal Physical</v>
      </c>
      <c r="B7055" s="4" t="s">
        <v>1572</v>
      </c>
      <c r="C7055" s="8" t="s">
        <v>5</v>
      </c>
      <c r="D7055" s="11" t="s">
        <v>1573</v>
      </c>
    </row>
    <row r="7056" spans="1:4" ht="30">
      <c r="A7056" s="5" t="str">
        <f>HYPERLINK("https://www.oit.va.gov/Services/TRM/ToolPage.aspx?tid=10772^","Dialogic System Release")</f>
        <v>Dialogic System Release</v>
      </c>
      <c r="B7056" s="4" t="s">
        <v>649</v>
      </c>
      <c r="C7056" s="8" t="s">
        <v>5</v>
      </c>
      <c r="D7056" s="11" t="s">
        <v>650</v>
      </c>
    </row>
    <row r="7057" spans="1:4" ht="30">
      <c r="A7057" s="5" t="str">
        <f>HYPERLINK("https://www.oit.va.gov/Services/TRM/ToolPage.aspx?tid=6311^","SAP BusinessObjects Business Intelligence (BI)")</f>
        <v>SAP BusinessObjects Business Intelligence (BI)</v>
      </c>
      <c r="B7057" s="4" t="s">
        <v>317</v>
      </c>
      <c r="C7057" s="8" t="s">
        <v>5</v>
      </c>
      <c r="D7057" s="11" t="s">
        <v>318</v>
      </c>
    </row>
    <row r="7058" spans="1:4" ht="30">
      <c r="A7058" s="5" t="str">
        <f>HYPERLINK("https://www.oit.va.gov/Services/TRM/ToolPage.aspx?tid=5732^","SQL Anywhere")</f>
        <v>SQL Anywhere</v>
      </c>
      <c r="B7058" s="4" t="s">
        <v>317</v>
      </c>
      <c r="C7058" s="8" t="s">
        <v>5</v>
      </c>
      <c r="D7058" s="11" t="s">
        <v>2191</v>
      </c>
    </row>
    <row r="7059" spans="1:4" ht="30">
      <c r="A7059" s="5" t="str">
        <f>HYPERLINK("https://www.oit.va.gov/Services/TRM/ToolPage.aspx?tid=10277^","SAP Crystal Reports, developer version for Visual Studio")</f>
        <v>SAP Crystal Reports, developer version for Visual Studio</v>
      </c>
      <c r="B7059" s="4" t="s">
        <v>317</v>
      </c>
      <c r="C7059" s="8" t="s">
        <v>5</v>
      </c>
      <c r="D7059" s="11" t="s">
        <v>710</v>
      </c>
    </row>
    <row r="7060" spans="1:4" ht="30">
      <c r="A7060" s="5" t="str">
        <f>HYPERLINK("https://www.oit.va.gov/Services/TRM/ToolPage.aspx?tid=10780^","SAP Control Center (SCC)")</f>
        <v>SAP Control Center (SCC)</v>
      </c>
      <c r="B7060" s="4" t="s">
        <v>317</v>
      </c>
      <c r="C7060" s="8" t="s">
        <v>5</v>
      </c>
      <c r="D7060" s="11" t="s">
        <v>3502</v>
      </c>
    </row>
    <row r="7061" spans="1:4" ht="30">
      <c r="A7061" s="5" t="str">
        <f>HYPERLINK("https://www.oit.va.gov/Services/TRM/ToolPage.aspx?tid=5597^","Crystal Reports")</f>
        <v>Crystal Reports</v>
      </c>
      <c r="B7061" s="4" t="s">
        <v>317</v>
      </c>
      <c r="C7061" s="8" t="s">
        <v>5</v>
      </c>
      <c r="D7061" s="11" t="s">
        <v>3983</v>
      </c>
    </row>
    <row r="7062" spans="1:4" ht="30">
      <c r="A7062" s="5" t="str">
        <f>HYPERLINK("https://www.oit.va.gov/Services/TRM/ToolPage.aspx?tid=5598^","Crystal Reports Viewer")</f>
        <v>Crystal Reports Viewer</v>
      </c>
      <c r="B7062" s="4" t="s">
        <v>317</v>
      </c>
      <c r="C7062" s="8" t="s">
        <v>5</v>
      </c>
      <c r="D7062" s="11" t="s">
        <v>3078</v>
      </c>
    </row>
    <row r="7063" spans="1:4" ht="30">
      <c r="A7063" s="5" t="str">
        <f>HYPERLINK("https://www.oit.va.gov/Services/TRM/ToolPage.aspx?tid=14744^","SAP PowerDesigner")</f>
        <v>SAP PowerDesigner</v>
      </c>
      <c r="B7063" s="4" t="s">
        <v>317</v>
      </c>
      <c r="C7063" s="8" t="s">
        <v>5</v>
      </c>
      <c r="D7063" s="11" t="s">
        <v>6054</v>
      </c>
    </row>
    <row r="7064" spans="1:4" ht="30">
      <c r="A7064" s="5" t="str">
        <f>HYPERLINK("https://www.oit.va.gov/Services/TRM/ToolPage.aspx?tid=13193^","AvantGo")</f>
        <v>AvantGo</v>
      </c>
      <c r="B7064" s="4" t="s">
        <v>317</v>
      </c>
      <c r="C7064" s="8" t="s">
        <v>5</v>
      </c>
      <c r="D7064" s="11" t="s">
        <v>2388</v>
      </c>
    </row>
    <row r="7065" spans="1:4" ht="30">
      <c r="A7065" s="5" t="str">
        <f>HYPERLINK("https://www.oit.va.gov/Services/TRM/ToolPage.aspx?tid=12938^","SAP Java Virtual Machine (JVM)")</f>
        <v>SAP Java Virtual Machine (JVM)</v>
      </c>
      <c r="B7065" s="4" t="s">
        <v>317</v>
      </c>
      <c r="C7065" s="8" t="s">
        <v>5</v>
      </c>
      <c r="D7065" s="11" t="s">
        <v>4711</v>
      </c>
    </row>
    <row r="7066" spans="1:4" ht="30">
      <c r="A7066" s="5" t="str">
        <f>HYPERLINK("https://www.oit.va.gov/Services/TRM/ToolPage.aspx?tid=13048^","BW Universe Builder")</f>
        <v>BW Universe Builder</v>
      </c>
      <c r="B7066" s="4" t="s">
        <v>317</v>
      </c>
      <c r="C7066" s="8" t="s">
        <v>5</v>
      </c>
      <c r="D7066" s="11" t="s">
        <v>3207</v>
      </c>
    </row>
    <row r="7067" spans="1:4" ht="30">
      <c r="A7067" s="5" t="str">
        <f>HYPERLINK("https://www.oit.va.gov/Services/TRM/ToolPage.aspx?tid=14471^","iAnywhere Advantage Object Linking and Embedding Database (OLE DB) Provider")</f>
        <v>iAnywhere Advantage Object Linking and Embedding Database (OLE DB) Provider</v>
      </c>
      <c r="B7067" s="4" t="s">
        <v>317</v>
      </c>
      <c r="C7067" s="8" t="s">
        <v>5</v>
      </c>
      <c r="D7067" s="11" t="s">
        <v>8012</v>
      </c>
    </row>
    <row r="7068" spans="1:4" ht="30">
      <c r="A7068" s="5" t="str">
        <f>HYPERLINK("https://www.oit.va.gov/Services/TRM/ToolPage.aspx?tid=13134^","Translation Manager")</f>
        <v>Translation Manager</v>
      </c>
      <c r="B7068" s="4" t="s">
        <v>317</v>
      </c>
      <c r="C7068" s="8" t="s">
        <v>5</v>
      </c>
      <c r="D7068" s="11" t="s">
        <v>8812</v>
      </c>
    </row>
    <row r="7069" spans="1:4" ht="30">
      <c r="A7069" s="5" t="str">
        <f>HYPERLINK("https://www.oit.va.gov/Services/TRM/ToolPage.aspx?tid=15834^","SAPIEN Document Explorer")</f>
        <v>SAPIEN Document Explorer</v>
      </c>
      <c r="B7069" s="4" t="s">
        <v>50</v>
      </c>
      <c r="C7069" s="8" t="s">
        <v>5</v>
      </c>
      <c r="D7069" s="11" t="s">
        <v>51</v>
      </c>
    </row>
    <row r="7070" spans="1:4" ht="30">
      <c r="A7070" s="5" t="str">
        <f>HYPERLINK("https://www.oit.va.gov/Services/TRM/ToolPage.aspx?tid=7200^","PowerShell Studio")</f>
        <v>PowerShell Studio</v>
      </c>
      <c r="B7070" s="4" t="s">
        <v>50</v>
      </c>
      <c r="C7070" s="8" t="s">
        <v>5</v>
      </c>
      <c r="D7070" s="11" t="s">
        <v>1080</v>
      </c>
    </row>
    <row r="7071" spans="1:4" ht="30">
      <c r="A7071" s="5" t="str">
        <f>HYPERLINK("https://www.oit.va.gov/Services/TRM/ToolPage.aspx?tid=15157^","ScriptMerge")</f>
        <v>ScriptMerge</v>
      </c>
      <c r="B7071" s="4" t="s">
        <v>50</v>
      </c>
      <c r="C7071" s="8" t="s">
        <v>5</v>
      </c>
      <c r="D7071" s="11" t="s">
        <v>1095</v>
      </c>
    </row>
    <row r="7072" spans="1:4" ht="30">
      <c r="A7072" s="5" t="str">
        <f>HYPERLINK("https://www.oit.va.gov/Services/TRM/ToolPage.aspx?tid=7567^","PrimalScript")</f>
        <v>PrimalScript</v>
      </c>
      <c r="B7072" s="4" t="s">
        <v>50</v>
      </c>
      <c r="C7072" s="8" t="s">
        <v>5</v>
      </c>
      <c r="D7072" s="11" t="s">
        <v>1028</v>
      </c>
    </row>
    <row r="7073" spans="1:4" ht="30">
      <c r="A7073" s="5" t="str">
        <f>HYPERLINK("https://www.oit.va.gov/Services/TRM/ToolPage.aspx?tid=10224^","COATSsql (Structured Query Language) Staffing Software")</f>
        <v>COATSsql (Structured Query Language) Staffing Software</v>
      </c>
      <c r="B7073" s="4" t="s">
        <v>7665</v>
      </c>
      <c r="C7073" s="8" t="s">
        <v>5</v>
      </c>
      <c r="D7073" s="11" t="s">
        <v>5169</v>
      </c>
    </row>
    <row r="7074" spans="1:4" ht="30">
      <c r="A7074" s="5" t="str">
        <f>HYPERLINK("https://www.oit.va.gov/Services/TRM/ToolPage.aspx?tid=15716^","Audit Trail")</f>
        <v>Audit Trail</v>
      </c>
      <c r="B7074" s="4" t="s">
        <v>7503</v>
      </c>
      <c r="C7074" s="8" t="s">
        <v>5</v>
      </c>
      <c r="D7074" s="11" t="s">
        <v>6594</v>
      </c>
    </row>
    <row r="7075" spans="1:4" ht="30">
      <c r="A7075" s="5" t="str">
        <f>HYPERLINK("https://www.oit.va.gov/Services/TRM/ToolPage.aspx?tid=7520^","SAS Visual Analytics")</f>
        <v>SAS Visual Analytics</v>
      </c>
      <c r="B7075" s="4" t="s">
        <v>840</v>
      </c>
      <c r="C7075" s="8" t="s">
        <v>5</v>
      </c>
      <c r="D7075" s="11" t="s">
        <v>841</v>
      </c>
    </row>
    <row r="7076" spans="1:4" ht="30">
      <c r="A7076" s="5" t="str">
        <f>HYPERLINK("https://www.oit.va.gov/Services/TRM/ToolPage.aspx?tid=6218^","SAS Econometrics and Time Series Analysis (SAS ETS)")</f>
        <v>SAS Econometrics and Time Series Analysis (SAS ETS)</v>
      </c>
      <c r="B7076" s="4" t="s">
        <v>840</v>
      </c>
      <c r="C7076" s="8" t="s">
        <v>5</v>
      </c>
      <c r="D7076" s="11" t="s">
        <v>1912</v>
      </c>
    </row>
    <row r="7077" spans="1:4" ht="30">
      <c r="A7077" s="5" t="str">
        <f>HYPERLINK("https://www.oit.va.gov/Services/TRM/ToolPage.aspx?tid=7762^","SAS Online Analytical Processing (OLAP) Server")</f>
        <v>SAS Online Analytical Processing (OLAP) Server</v>
      </c>
      <c r="B7077" s="4" t="s">
        <v>840</v>
      </c>
      <c r="C7077" s="8" t="s">
        <v>5</v>
      </c>
      <c r="D7077" s="11" t="s">
        <v>1913</v>
      </c>
    </row>
    <row r="7078" spans="1:4" ht="30">
      <c r="A7078" s="5" t="str">
        <f>HYPERLINK("https://www.oit.va.gov/Services/TRM/ToolPage.aspx?tid=6219^","SAS/GRAPH")</f>
        <v>SAS/GRAPH</v>
      </c>
      <c r="B7078" s="4" t="s">
        <v>840</v>
      </c>
      <c r="C7078" s="8" t="s">
        <v>5</v>
      </c>
      <c r="D7078" s="11" t="s">
        <v>1914</v>
      </c>
    </row>
    <row r="7079" spans="1:4" ht="30">
      <c r="A7079" s="5" t="str">
        <f>HYPERLINK("https://www.oit.va.gov/Services/TRM/ToolPage.aspx?tid=6217^","Statistical Analysis Software (SAS)/ACCESS")</f>
        <v>Statistical Analysis Software (SAS)/ACCESS</v>
      </c>
      <c r="B7079" s="4" t="s">
        <v>840</v>
      </c>
      <c r="C7079" s="8" t="s">
        <v>5</v>
      </c>
      <c r="D7079" s="11" t="s">
        <v>677</v>
      </c>
    </row>
    <row r="7080" spans="1:4" ht="30">
      <c r="A7080" s="5" t="str">
        <f>HYPERLINK("https://www.oit.va.gov/Services/TRM/ToolPage.aspx?tid=6195^","Statistical Analysis System (SAS) Base")</f>
        <v>Statistical Analysis System (SAS) Base</v>
      </c>
      <c r="B7080" s="4" t="s">
        <v>840</v>
      </c>
      <c r="C7080" s="8" t="s">
        <v>5</v>
      </c>
      <c r="D7080" s="11" t="s">
        <v>1957</v>
      </c>
    </row>
    <row r="7081" spans="1:4" ht="30">
      <c r="A7081" s="5" t="str">
        <f>HYPERLINK("https://www.oit.va.gov/Services/TRM/ToolPage.aspx?tid=7329^","Statistical Analysis System (SAS) Cost and Profitability Management")</f>
        <v>Statistical Analysis System (SAS) Cost and Profitability Management</v>
      </c>
      <c r="B7081" s="4" t="s">
        <v>840</v>
      </c>
      <c r="C7081" s="8" t="s">
        <v>5</v>
      </c>
      <c r="D7081" s="11" t="s">
        <v>862</v>
      </c>
    </row>
    <row r="7082" spans="1:4" ht="30">
      <c r="A7082" s="5" t="str">
        <f>HYPERLINK("https://www.oit.va.gov/Services/TRM/ToolPage.aspx?tid=6221^","Statistical Analysis System (SAS) Quality Control (SAS/QC)")</f>
        <v>Statistical Analysis System (SAS) Quality Control (SAS/QC)</v>
      </c>
      <c r="B7082" s="4" t="s">
        <v>840</v>
      </c>
      <c r="C7082" s="8" t="s">
        <v>5</v>
      </c>
      <c r="D7082" s="11" t="s">
        <v>1958</v>
      </c>
    </row>
    <row r="7083" spans="1:4" ht="30">
      <c r="A7083" s="5" t="str">
        <f>HYPERLINK("https://www.oit.va.gov/Services/TRM/ToolPage.aspx?tid=6222^","Statistical Analysis System (SAS)/SHARE")</f>
        <v>Statistical Analysis System (SAS)/SHARE</v>
      </c>
      <c r="B7083" s="4" t="s">
        <v>840</v>
      </c>
      <c r="C7083" s="8" t="s">
        <v>5</v>
      </c>
      <c r="D7083" s="11" t="s">
        <v>1959</v>
      </c>
    </row>
    <row r="7084" spans="1:4" ht="30">
      <c r="A7084" s="5" t="str">
        <f>HYPERLINK("https://www.oit.va.gov/Services/TRM/ToolPage.aspx?tid=10646^","SAS Add-In for Microsoft Office")</f>
        <v>SAS Add-In for Microsoft Office</v>
      </c>
      <c r="B7084" s="4" t="s">
        <v>840</v>
      </c>
      <c r="C7084" s="8" t="s">
        <v>5</v>
      </c>
      <c r="D7084" s="11" t="s">
        <v>2933</v>
      </c>
    </row>
    <row r="7085" spans="1:4" ht="30">
      <c r="A7085" s="5" t="str">
        <f>HYPERLINK("https://www.oit.va.gov/Services/TRM/ToolPage.aspx?tid=15438^","Statistical Analysis System (SAS) Management Console")</f>
        <v>Statistical Analysis System (SAS) Management Console</v>
      </c>
      <c r="B7085" s="4" t="s">
        <v>840</v>
      </c>
      <c r="C7085" s="8" t="s">
        <v>5</v>
      </c>
      <c r="D7085" s="11" t="s">
        <v>1957</v>
      </c>
    </row>
    <row r="7086" spans="1:4" ht="30">
      <c r="A7086" s="5" t="str">
        <f>HYPERLINK("https://www.oit.va.gov/Services/TRM/ToolPage.aspx?tid=6730^","Statistical Analysis System (SAS)/CONNECT")</f>
        <v>Statistical Analysis System (SAS)/CONNECT</v>
      </c>
      <c r="B7086" s="4" t="s">
        <v>840</v>
      </c>
      <c r="C7086" s="8" t="s">
        <v>5</v>
      </c>
      <c r="D7086" s="11" t="s">
        <v>2991</v>
      </c>
    </row>
    <row r="7087" spans="1:4" ht="30">
      <c r="A7087" s="5" t="str">
        <f>HYPERLINK("https://www.oit.va.gov/Services/TRM/ToolPage.aspx?tid=6019^","JMP Software")</f>
        <v>JMP Software</v>
      </c>
      <c r="B7087" s="4" t="s">
        <v>840</v>
      </c>
      <c r="C7087" s="8" t="s">
        <v>5</v>
      </c>
      <c r="D7087" s="11" t="s">
        <v>4312</v>
      </c>
    </row>
    <row r="7088" spans="1:4" ht="30">
      <c r="A7088" s="5" t="str">
        <f>HYPERLINK("https://www.oit.va.gov/Services/TRM/ToolPage.aspx?tid=9324^","SAS Enterprise Miner")</f>
        <v>SAS Enterprise Miner</v>
      </c>
      <c r="B7088" s="4" t="s">
        <v>840</v>
      </c>
      <c r="C7088" s="8" t="s">
        <v>5</v>
      </c>
      <c r="D7088" s="11" t="s">
        <v>4756</v>
      </c>
    </row>
    <row r="7089" spans="1:4" ht="30">
      <c r="A7089" s="5" t="str">
        <f>HYPERLINK("https://www.oit.va.gov/Services/TRM/ToolPage.aspx?tid=15207^","SAS Hot Fix Analysis, Download and Deployment Tool (SASHFADD)")</f>
        <v>SAS Hot Fix Analysis, Download and Deployment Tool (SASHFADD)</v>
      </c>
      <c r="B7089" s="4" t="s">
        <v>840</v>
      </c>
      <c r="C7089" s="8" t="s">
        <v>5</v>
      </c>
      <c r="D7089" s="11" t="s">
        <v>3517</v>
      </c>
    </row>
    <row r="7090" spans="1:4" ht="30">
      <c r="A7090" s="5" t="str">
        <f>HYPERLINK("https://www.oit.va.gov/Services/TRM/ToolPage.aspx?tid=6223^","SAS Statistical Analysis (SAS/STAT)")</f>
        <v>SAS Statistical Analysis (SAS/STAT)</v>
      </c>
      <c r="B7090" s="4" t="s">
        <v>840</v>
      </c>
      <c r="C7090" s="8" t="s">
        <v>5</v>
      </c>
      <c r="D7090" s="11" t="s">
        <v>4619</v>
      </c>
    </row>
    <row r="7091" spans="1:4" ht="30">
      <c r="A7091" s="5" t="str">
        <f>HYPERLINK("https://www.oit.va.gov/Services/TRM/ToolPage.aspx?tid=15615^","Statistical Analysis System (SAS) Data Preparation")</f>
        <v>Statistical Analysis System (SAS) Data Preparation</v>
      </c>
      <c r="B7091" s="4" t="s">
        <v>840</v>
      </c>
      <c r="C7091" s="8" t="s">
        <v>5</v>
      </c>
      <c r="D7091" s="11" t="s">
        <v>3900</v>
      </c>
    </row>
    <row r="7092" spans="1:4" ht="30">
      <c r="A7092" s="5" t="str">
        <f>HYPERLINK("https://www.oit.va.gov/Services/TRM/ToolPage.aspx?tid=5713^","Statistical Analysis System (SAS) Java Database Connectivity (JDBC) Drivers")</f>
        <v>Statistical Analysis System (SAS) Java Database Connectivity (JDBC) Drivers</v>
      </c>
      <c r="B7092" s="4" t="s">
        <v>840</v>
      </c>
      <c r="C7092" s="8" t="s">
        <v>5</v>
      </c>
      <c r="D7092" s="11" t="s">
        <v>113</v>
      </c>
    </row>
    <row r="7093" spans="1:4" ht="30">
      <c r="A7093" s="5" t="str">
        <f>HYPERLINK("https://www.oit.va.gov/Services/TRM/ToolPage.aspx?tid=9325^","Statistical Analysis System (SAS) Text Miner")</f>
        <v>Statistical Analysis System (SAS) Text Miner</v>
      </c>
      <c r="B7093" s="4" t="s">
        <v>840</v>
      </c>
      <c r="C7093" s="8" t="s">
        <v>5</v>
      </c>
      <c r="D7093" s="11" t="s">
        <v>4850</v>
      </c>
    </row>
    <row r="7094" spans="1:4" ht="30">
      <c r="A7094" s="5" t="str">
        <f>HYPERLINK("https://www.oit.va.gov/Services/TRM/ToolPage.aspx?tid=6220^","SAS IntrNet")</f>
        <v>SAS IntrNet</v>
      </c>
      <c r="B7094" s="4" t="s">
        <v>840</v>
      </c>
      <c r="C7094" s="8" t="s">
        <v>5</v>
      </c>
      <c r="D7094" s="11" t="s">
        <v>3590</v>
      </c>
    </row>
    <row r="7095" spans="1:4" ht="30">
      <c r="A7095" s="5" t="str">
        <f>HYPERLINK("https://www.oit.va.gov/Services/TRM/ToolPage.aspx?tid=13394^","SAS University Edition")</f>
        <v>SAS University Edition</v>
      </c>
      <c r="B7095" s="4" t="s">
        <v>840</v>
      </c>
      <c r="C7095" s="8" t="s">
        <v>5</v>
      </c>
      <c r="D7095" s="11" t="s">
        <v>5491</v>
      </c>
    </row>
    <row r="7096" spans="1:4" ht="30">
      <c r="A7096" s="5" t="str">
        <f>HYPERLINK("https://www.oit.va.gov/Services/TRM/ToolPage.aspx?tid=15614^","Statistical Analysis System (SAS) Visual Statistics")</f>
        <v>Statistical Analysis System (SAS) Visual Statistics</v>
      </c>
      <c r="B7096" s="4" t="s">
        <v>840</v>
      </c>
      <c r="C7096" s="8" t="s">
        <v>5</v>
      </c>
      <c r="D7096" s="11" t="s">
        <v>6087</v>
      </c>
    </row>
    <row r="7097" spans="1:4" ht="30">
      <c r="A7097" s="5" t="str">
        <f>HYPERLINK("https://www.oit.va.gov/Services/TRM/ToolPage.aspx?tid=15613^","Statistical Analysis System (SAS) Visual Text Analytics")</f>
        <v>Statistical Analysis System (SAS) Visual Text Analytics</v>
      </c>
      <c r="B7097" s="4" t="s">
        <v>840</v>
      </c>
      <c r="C7097" s="8" t="s">
        <v>5</v>
      </c>
      <c r="D7097" s="11" t="s">
        <v>6087</v>
      </c>
    </row>
    <row r="7098" spans="1:4" ht="30">
      <c r="A7098" s="5" t="str">
        <f>HYPERLINK("https://www.oit.va.gov/Services/TRM/ToolPage.aspx?tid=15612^","Statistical Analysis System (SAS) Viya")</f>
        <v>Statistical Analysis System (SAS) Viya</v>
      </c>
      <c r="B7098" s="4" t="s">
        <v>840</v>
      </c>
      <c r="C7098" s="8" t="s">
        <v>5</v>
      </c>
      <c r="D7098" s="11" t="s">
        <v>6087</v>
      </c>
    </row>
    <row r="7099" spans="1:4" ht="30">
      <c r="A7099" s="5" t="str">
        <f>HYPERLINK("https://www.oit.va.gov/Services/TRM/ToolPage.aspx?tid=5833^","Statistical Analysis System (SAS) Applications Facility (SAS/AF)")</f>
        <v>Statistical Analysis System (SAS) Applications Facility (SAS/AF)</v>
      </c>
      <c r="B7099" s="4" t="s">
        <v>840</v>
      </c>
      <c r="C7099" s="8" t="s">
        <v>5</v>
      </c>
      <c r="D7099" s="11" t="s">
        <v>7184</v>
      </c>
    </row>
    <row r="7100" spans="1:4" ht="30">
      <c r="A7100" s="5" t="str">
        <f>HYPERLINK("https://www.oit.va.gov/Services/TRM/ToolPage.aspx?tid=10257^","Statistical Analysis System (SAS) Enterprise Guide")</f>
        <v>Statistical Analysis System (SAS) Enterprise Guide</v>
      </c>
      <c r="B7100" s="4" t="s">
        <v>840</v>
      </c>
      <c r="C7100" s="8" t="s">
        <v>5</v>
      </c>
      <c r="D7100" s="11" t="s">
        <v>848</v>
      </c>
    </row>
    <row r="7101" spans="1:4" ht="30">
      <c r="A7101" s="5" t="str">
        <f>HYPERLINK("https://www.oit.va.gov/Services/TRM/ToolPage.aspx?tid=6136^","Statistical Analysis System (SAS) Simulation Studio")</f>
        <v>Statistical Analysis System (SAS) Simulation Studio</v>
      </c>
      <c r="B7101" s="4" t="s">
        <v>840</v>
      </c>
      <c r="C7101" s="8" t="s">
        <v>5</v>
      </c>
      <c r="D7101" s="11" t="s">
        <v>7185</v>
      </c>
    </row>
    <row r="7102" spans="1:4" ht="30">
      <c r="A7102" s="5" t="str">
        <f>HYPERLINK("https://www.oit.va.gov/Services/TRM/ToolPage.aspx?tid=5937^","Database Management System (DBMS)/Copy")</f>
        <v>Database Management System (DBMS)/Copy</v>
      </c>
      <c r="B7102" s="4" t="s">
        <v>840</v>
      </c>
      <c r="C7102" s="8" t="s">
        <v>5</v>
      </c>
      <c r="D7102" s="11" t="s">
        <v>7733</v>
      </c>
    </row>
    <row r="7103" spans="1:4" ht="30">
      <c r="A7103" s="5" t="str">
        <f>HYPERLINK("https://www.oit.va.gov/Services/TRM/ToolPage.aspx?tid=5714^","Statistical Analysis System (SAS) Open Database Connectivity (ODBC) Driver")</f>
        <v>Statistical Analysis System (SAS) Open Database Connectivity (ODBC) Driver</v>
      </c>
      <c r="B7103" s="4" t="s">
        <v>840</v>
      </c>
      <c r="C7103" s="8" t="s">
        <v>5</v>
      </c>
      <c r="D7103" s="11" t="s">
        <v>8726</v>
      </c>
    </row>
    <row r="7104" spans="1:4" ht="30">
      <c r="A7104" s="5" t="str">
        <f>HYPERLINK("https://www.oit.va.gov/Services/TRM/ToolPage.aspx?tid=11478^","Wireless AutoSwitch XPV")</f>
        <v>Wireless AutoSwitch XPV</v>
      </c>
      <c r="B7104" s="4" t="s">
        <v>3638</v>
      </c>
      <c r="C7104" s="8" t="s">
        <v>5</v>
      </c>
      <c r="D7104" s="11" t="s">
        <v>3639</v>
      </c>
    </row>
    <row r="7105" spans="1:4" ht="30">
      <c r="A7105" s="5" t="str">
        <f>HYPERLINK("https://www.oit.va.gov/Services/TRM/ToolPage.aspx?tid=14702^","K2")</f>
        <v>K2</v>
      </c>
      <c r="B7105" s="4" t="s">
        <v>8137</v>
      </c>
      <c r="C7105" s="8" t="s">
        <v>5</v>
      </c>
      <c r="D7105" s="11" t="s">
        <v>3170</v>
      </c>
    </row>
    <row r="7106" spans="1:4" ht="30">
      <c r="A7106" s="5" t="str">
        <f>HYPERLINK("https://www.oit.va.gov/Services/TRM/ToolPage.aspx?tid=8209^","Syntactically Awesome Style Sheets (Sass)")</f>
        <v>Syntactically Awesome Style Sheets (Sass)</v>
      </c>
      <c r="B7106" s="4" t="s">
        <v>8774</v>
      </c>
      <c r="C7106" s="8" t="s">
        <v>5</v>
      </c>
      <c r="D7106" s="11" t="s">
        <v>8775</v>
      </c>
    </row>
    <row r="7107" spans="1:4" ht="30">
      <c r="A7107" s="5" t="str">
        <f>HYPERLINK("https://www.oit.va.gov/Services/TRM/ToolPage.aspx?tid=13240^","SATO All-In-One Tool")</f>
        <v>SATO All-In-One Tool</v>
      </c>
      <c r="B7107" s="4" t="s">
        <v>4757</v>
      </c>
      <c r="C7107" s="8" t="s">
        <v>5</v>
      </c>
      <c r="D7107" s="11" t="s">
        <v>1067</v>
      </c>
    </row>
    <row r="7108" spans="1:4" ht="30">
      <c r="A7108" s="5" t="str">
        <f>HYPERLINK("https://www.oit.va.gov/Services/TRM/ToolPage.aspx?tid=16367^","SATO WS4 Printer Utility")</f>
        <v>SATO WS4 Printer Utility</v>
      </c>
      <c r="B7108" s="4" t="s">
        <v>4757</v>
      </c>
      <c r="C7108" s="8" t="s">
        <v>5</v>
      </c>
      <c r="D7108" s="11" t="s">
        <v>203</v>
      </c>
    </row>
    <row r="7109" spans="1:4" ht="30">
      <c r="A7109" s="5" t="str">
        <f>HYPERLINK("https://www.oit.va.gov/Services/TRM/ToolPage.aspx?tid=8925^","SaTScan")</f>
        <v>SaTScan</v>
      </c>
      <c r="B7109" s="4" t="s">
        <v>2934</v>
      </c>
      <c r="C7109" s="8" t="s">
        <v>5</v>
      </c>
      <c r="D7109" s="11" t="s">
        <v>2935</v>
      </c>
    </row>
    <row r="7110" spans="1:4" ht="30">
      <c r="A7110" s="5" t="str">
        <f>HYPERLINK("https://www.oit.va.gov/Services/TRM/ToolPage.aspx?tid=8161^","Green Screen Wizard Software")</f>
        <v>Green Screen Wizard Software</v>
      </c>
      <c r="B7110" s="4" t="s">
        <v>8001</v>
      </c>
      <c r="C7110" s="8" t="s">
        <v>5</v>
      </c>
      <c r="D7110" s="11" t="s">
        <v>2783</v>
      </c>
    </row>
    <row r="7111" spans="1:4" ht="30">
      <c r="A7111" s="5" t="str">
        <f>HYPERLINK("https://www.oit.va.gov/Services/TRM/ToolPage.aspx?tid=13691^","Savance Health Patient Tracking and Flow")</f>
        <v>Savance Health Patient Tracking and Flow</v>
      </c>
      <c r="B7111" s="4" t="s">
        <v>4758</v>
      </c>
      <c r="C7111" s="8" t="s">
        <v>5</v>
      </c>
      <c r="D7111" s="11" t="s">
        <v>257</v>
      </c>
    </row>
    <row r="7112" spans="1:4" ht="30">
      <c r="A7112" s="5" t="str">
        <f>HYPERLINK("https://www.oit.va.gov/Services/TRM/ToolPage.aspx?tid=8876^","TurboTop")</f>
        <v>TurboTop</v>
      </c>
      <c r="B7112" s="4" t="s">
        <v>7256</v>
      </c>
      <c r="C7112" s="8" t="s">
        <v>5</v>
      </c>
      <c r="D7112" s="11" t="s">
        <v>7257</v>
      </c>
    </row>
    <row r="7113" spans="1:4" ht="30">
      <c r="A7113" s="5" t="str">
        <f>HYPERLINK("https://www.oit.va.gov/Services/TRM/ToolPage.aspx?tid=8103^","Lighthouse Studio")</f>
        <v>Lighthouse Studio</v>
      </c>
      <c r="B7113" s="4" t="s">
        <v>2734</v>
      </c>
      <c r="C7113" s="8" t="s">
        <v>5</v>
      </c>
      <c r="D7113" s="11" t="s">
        <v>2735</v>
      </c>
    </row>
    <row r="7114" spans="1:4" ht="30">
      <c r="A7114" s="5" t="str">
        <f>HYPERLINK("https://www.oit.va.gov/Services/TRM/ToolPage.aspx?tid=6224^","Saxon")</f>
        <v>Saxon</v>
      </c>
      <c r="B7114" s="4" t="s">
        <v>4759</v>
      </c>
      <c r="C7114" s="8" t="s">
        <v>5</v>
      </c>
      <c r="D7114" s="11" t="s">
        <v>2517</v>
      </c>
    </row>
    <row r="7115" spans="1:4" ht="30">
      <c r="A7115" s="5" t="str">
        <f>HYPERLINK("https://www.oit.va.gov/Services/TRM/ToolPage.aspx?tid=8943^","Scala Digital Signage Software")</f>
        <v>Scala Digital Signage Software</v>
      </c>
      <c r="B7115" s="4" t="s">
        <v>5492</v>
      </c>
      <c r="C7115" s="8" t="s">
        <v>5</v>
      </c>
      <c r="D7115" s="11" t="s">
        <v>1575</v>
      </c>
    </row>
    <row r="7116" spans="1:4" ht="30">
      <c r="A7116" s="5" t="str">
        <f>HYPERLINK("https://www.oit.va.gov/Services/TRM/ToolPage.aspx?tid=13327^","Scanmarker Software")</f>
        <v>Scanmarker Software</v>
      </c>
      <c r="B7116" s="4" t="s">
        <v>6058</v>
      </c>
      <c r="C7116" s="8" t="s">
        <v>5</v>
      </c>
      <c r="D7116" s="11" t="s">
        <v>6059</v>
      </c>
    </row>
    <row r="7117" spans="1:4" ht="30">
      <c r="A7117" s="5" t="str">
        <f>HYPERLINK("https://www.oit.va.gov/Services/TRM/ToolPage.aspx?tid=11592^","Scantron DesignExpert")</f>
        <v>Scantron DesignExpert</v>
      </c>
      <c r="B7117" s="4" t="s">
        <v>3505</v>
      </c>
      <c r="C7117" s="8" t="s">
        <v>5</v>
      </c>
      <c r="D7117" s="11" t="s">
        <v>3506</v>
      </c>
    </row>
    <row r="7118" spans="1:4" ht="30">
      <c r="A7118" s="5" t="str">
        <f>HYPERLINK("https://www.oit.va.gov/Services/TRM/ToolPage.aspx?tid=7241^","SurveyTracker Plus")</f>
        <v>SurveyTracker Plus</v>
      </c>
      <c r="B7118" s="4" t="s">
        <v>3505</v>
      </c>
      <c r="C7118" s="8" t="s">
        <v>5</v>
      </c>
      <c r="D7118" s="11" t="s">
        <v>5540</v>
      </c>
    </row>
    <row r="7119" spans="1:4" ht="30">
      <c r="A7119" s="5" t="str">
        <f>HYPERLINK("https://www.oit.va.gov/Services/TRM/ToolPage.aspx?tid=11604^","ScheduleReader")</f>
        <v>ScheduleReader</v>
      </c>
      <c r="B7119" s="4" t="s">
        <v>4764</v>
      </c>
      <c r="C7119" s="8" t="s">
        <v>5</v>
      </c>
      <c r="D7119" s="11" t="s">
        <v>820</v>
      </c>
    </row>
    <row r="7120" spans="1:4" ht="30">
      <c r="A7120" s="5" t="str">
        <f>HYPERLINK("https://www.oit.va.gov/Services/TRM/ToolPage.aspx?tid=10778^","ScheduleVIEW")</f>
        <v>ScheduleVIEW</v>
      </c>
      <c r="B7120" s="4" t="s">
        <v>7106</v>
      </c>
      <c r="C7120" s="8" t="s">
        <v>5</v>
      </c>
      <c r="D7120" s="11" t="s">
        <v>7107</v>
      </c>
    </row>
    <row r="7121" spans="1:4" ht="30">
      <c r="A7121" s="5" t="str">
        <f>HYPERLINK("https://www.oit.va.gov/Services/TRM/ToolPage.aspx?tid=7134^","EcoStruxure IT Data Center Expert")</f>
        <v>EcoStruxure IT Data Center Expert</v>
      </c>
      <c r="B7121" s="4" t="s">
        <v>669</v>
      </c>
      <c r="C7121" s="8" t="s">
        <v>5</v>
      </c>
      <c r="D7121" s="11" t="s">
        <v>670</v>
      </c>
    </row>
    <row r="7122" spans="1:4" ht="30">
      <c r="A7122" s="5" t="str">
        <f>HYPERLINK("https://www.oit.va.gov/Services/TRM/ToolPage.aspx?tid=10013^","EcoStruxure Power Monitoring Expert")</f>
        <v>EcoStruxure Power Monitoring Expert</v>
      </c>
      <c r="B7122" s="4" t="s">
        <v>669</v>
      </c>
      <c r="C7122" s="8" t="s">
        <v>5</v>
      </c>
      <c r="D7122" s="11" t="s">
        <v>1522</v>
      </c>
    </row>
    <row r="7123" spans="1:4" ht="30">
      <c r="A7123" s="5" t="str">
        <f>HYPERLINK("https://www.oit.va.gov/Services/TRM/ToolPage.aspx?tid=14298^","EcoStruxure Building Operation")</f>
        <v>EcoStruxure Building Operation</v>
      </c>
      <c r="B7123" s="4" t="s">
        <v>669</v>
      </c>
      <c r="C7123" s="8" t="s">
        <v>5</v>
      </c>
      <c r="D7123" s="11" t="s">
        <v>3271</v>
      </c>
    </row>
    <row r="7124" spans="1:4" ht="30">
      <c r="A7124" s="5" t="str">
        <f>HYPERLINK("https://www.oit.va.gov/Services/TRM/ToolPage.aspx?tid=16235^","Critical Power Management System")</f>
        <v>Critical Power Management System</v>
      </c>
      <c r="B7124" s="4" t="s">
        <v>669</v>
      </c>
      <c r="C7124" s="8" t="s">
        <v>5</v>
      </c>
      <c r="D7124" s="11" t="s">
        <v>3982</v>
      </c>
    </row>
    <row r="7125" spans="1:4" ht="30">
      <c r="A7125" s="5" t="str">
        <f>HYPERLINK("https://www.oit.va.gov/Services/TRM/ToolPage.aspx?tid=13213^","Andover Continuum")</f>
        <v>Andover Continuum</v>
      </c>
      <c r="B7125" s="4" t="s">
        <v>669</v>
      </c>
      <c r="C7125" s="8" t="s">
        <v>5</v>
      </c>
      <c r="D7125" s="11" t="s">
        <v>187</v>
      </c>
    </row>
    <row r="7126" spans="1:4" ht="30">
      <c r="A7126" s="5" t="str">
        <f>HYPERLINK("https://www.oit.va.gov/Services/TRM/ToolPage.aspx?tid=16589^","Critical Power Management Appliances (CPMA)")</f>
        <v>Critical Power Management Appliances (CPMA)</v>
      </c>
      <c r="B7126" s="4" t="s">
        <v>669</v>
      </c>
      <c r="C7126" s="8" t="s">
        <v>5</v>
      </c>
      <c r="D7126" s="11" t="s">
        <v>6470</v>
      </c>
    </row>
    <row r="7127" spans="1:4" ht="30">
      <c r="A7127" s="5" t="str">
        <f>HYPERLINK("https://www.oit.va.gov/Services/TRM/ToolPage.aspx?tid=16340^","SofType On-Screen Keyboard")</f>
        <v>SofType On-Screen Keyboard</v>
      </c>
      <c r="B7127" s="4" t="s">
        <v>1943</v>
      </c>
      <c r="C7127" s="8" t="s">
        <v>5</v>
      </c>
      <c r="D7127" s="11" t="s">
        <v>1944</v>
      </c>
    </row>
    <row r="7128" spans="1:4" ht="45">
      <c r="A7128" s="5" t="str">
        <f>HYPERLINK("https://www.oit.va.gov/Services/TRM/ToolPage.aspx?tid=9013^","MedEx-Unstructured Information Management Architecture (UIMA)")</f>
        <v>MedEx-Unstructured Information Management Architecture (UIMA)</v>
      </c>
      <c r="B7128" s="4" t="s">
        <v>5932</v>
      </c>
      <c r="C7128" s="8" t="s">
        <v>5</v>
      </c>
      <c r="D7128" s="11" t="s">
        <v>2341</v>
      </c>
    </row>
    <row r="7129" spans="1:4" ht="30">
      <c r="A7129" s="5" t="str">
        <f>HYPERLINK("https://www.oit.va.gov/Services/TRM/ToolPage.aspx?tid=11098^","Konstanz Information Miner (KNIME) Extensions")</f>
        <v>Konstanz Information Miner (KNIME) Extensions</v>
      </c>
      <c r="B7129" s="4" t="s">
        <v>4334</v>
      </c>
      <c r="C7129" s="8" t="s">
        <v>5</v>
      </c>
      <c r="D7129" s="11" t="s">
        <v>4322</v>
      </c>
    </row>
    <row r="7130" spans="1:4" ht="30">
      <c r="A7130" s="5" t="str">
        <f>HYPERLINK("https://www.oit.va.gov/Services/TRM/ToolPage.aspx?tid=11070^","PIPER")</f>
        <v>PIPER</v>
      </c>
      <c r="B7130" s="4" t="s">
        <v>4334</v>
      </c>
      <c r="C7130" s="8" t="s">
        <v>5</v>
      </c>
      <c r="D7130" s="11" t="s">
        <v>259</v>
      </c>
    </row>
    <row r="7131" spans="1:4" ht="30">
      <c r="A7131" s="5" t="str">
        <f>HYPERLINK("https://www.oit.va.gov/Services/TRM/ToolPage.aspx?tid=11008^","PyMOL")</f>
        <v>PyMOL</v>
      </c>
      <c r="B7131" s="4" t="s">
        <v>4334</v>
      </c>
      <c r="C7131" s="8" t="s">
        <v>5</v>
      </c>
      <c r="D7131" s="11" t="s">
        <v>5454</v>
      </c>
    </row>
    <row r="7132" spans="1:4" ht="30">
      <c r="A7132" s="5" t="str">
        <f>HYPERLINK("https://www.oit.va.gov/Services/TRM/ToolPage.aspx?tid=11009^","Ax Python-enhanced Molecular graphics tool (AxPyMOL)")</f>
        <v>Ax Python-enhanced Molecular graphics tool (AxPyMOL)</v>
      </c>
      <c r="B7132" s="4" t="s">
        <v>4334</v>
      </c>
      <c r="C7132" s="8" t="s">
        <v>5</v>
      </c>
      <c r="D7132" s="11" t="s">
        <v>5029</v>
      </c>
    </row>
    <row r="7133" spans="1:4" ht="30">
      <c r="A7133" s="5" t="str">
        <f>HYPERLINK("https://www.oit.va.gov/Services/TRM/ToolPage.aspx?tid=11006^","BioLuminate")</f>
        <v>BioLuminate</v>
      </c>
      <c r="B7133" s="4" t="s">
        <v>4334</v>
      </c>
      <c r="C7133" s="8" t="s">
        <v>5</v>
      </c>
      <c r="D7133" s="11" t="s">
        <v>6342</v>
      </c>
    </row>
    <row r="7134" spans="1:4" ht="30">
      <c r="A7134" s="5" t="str">
        <f>HYPERLINK("https://www.oit.va.gov/Services/TRM/ToolPage.aspx?tid=11100^","Desmond")</f>
        <v>Desmond</v>
      </c>
      <c r="B7134" s="4" t="s">
        <v>4334</v>
      </c>
      <c r="C7134" s="8" t="s">
        <v>5</v>
      </c>
      <c r="D7134" s="11" t="s">
        <v>2420</v>
      </c>
    </row>
    <row r="7135" spans="1:4" ht="30">
      <c r="A7135" s="5" t="str">
        <f>HYPERLINK("https://www.oit.va.gov/Services/TRM/ToolPage.aspx?tid=11065^","Epik")</f>
        <v>Epik</v>
      </c>
      <c r="B7135" s="4" t="s">
        <v>4334</v>
      </c>
      <c r="C7135" s="8" t="s">
        <v>5</v>
      </c>
      <c r="D7135" s="11" t="s">
        <v>3485</v>
      </c>
    </row>
    <row r="7136" spans="1:4" ht="30">
      <c r="A7136" s="5" t="str">
        <f>HYPERLINK("https://www.oit.va.gov/Services/TRM/ToolPage.aspx?tid=11067^","Jaguar")</f>
        <v>Jaguar</v>
      </c>
      <c r="B7136" s="4" t="s">
        <v>4334</v>
      </c>
      <c r="C7136" s="8" t="s">
        <v>5</v>
      </c>
      <c r="D7136" s="11" t="s">
        <v>2268</v>
      </c>
    </row>
    <row r="7137" spans="1:4" ht="30">
      <c r="A7137" s="5" t="str">
        <f>HYPERLINK("https://www.oit.va.gov/Services/TRM/ToolPage.aspx?tid=11133^","MacroModel")</f>
        <v>MacroModel</v>
      </c>
      <c r="B7137" s="4" t="s">
        <v>4334</v>
      </c>
      <c r="C7137" s="8" t="s">
        <v>5</v>
      </c>
      <c r="D7137" s="11" t="s">
        <v>6810</v>
      </c>
    </row>
    <row r="7138" spans="1:4" ht="30">
      <c r="A7138" s="5" t="str">
        <f>HYPERLINK("https://www.oit.va.gov/Services/TRM/ToolPage.aspx?tid=11069^","Prime")</f>
        <v>Prime</v>
      </c>
      <c r="B7138" s="4" t="s">
        <v>4334</v>
      </c>
      <c r="C7138" s="8" t="s">
        <v>5</v>
      </c>
      <c r="D7138" s="11" t="s">
        <v>240</v>
      </c>
    </row>
    <row r="7139" spans="1:4" ht="30">
      <c r="A7139" s="5" t="str">
        <f>HYPERLINK("https://www.oit.va.gov/Services/TRM/ToolPage.aspx?tid=11068^","QSite")</f>
        <v>QSite</v>
      </c>
      <c r="B7139" s="4" t="s">
        <v>4334</v>
      </c>
      <c r="C7139" s="8" t="s">
        <v>5</v>
      </c>
      <c r="D7139" s="11" t="s">
        <v>5922</v>
      </c>
    </row>
    <row r="7140" spans="1:4" ht="30">
      <c r="A7140" s="5" t="str">
        <f>HYPERLINK("https://www.oit.va.gov/Services/TRM/ToolPage.aspx?tid=6923^","ScienceLogic SL1")</f>
        <v>ScienceLogic SL1</v>
      </c>
      <c r="B7140" s="4" t="s">
        <v>4765</v>
      </c>
      <c r="C7140" s="8" t="s">
        <v>5</v>
      </c>
      <c r="D7140" s="11" t="s">
        <v>4766</v>
      </c>
    </row>
    <row r="7141" spans="1:4" ht="30">
      <c r="A7141" s="5" t="str">
        <f>HYPERLINK("https://www.oit.va.gov/Services/TRM/ToolPage.aspx?tid=7796^","Clone Manager")</f>
        <v>Clone Manager</v>
      </c>
      <c r="B7141" s="4" t="s">
        <v>947</v>
      </c>
      <c r="C7141" s="8" t="s">
        <v>5</v>
      </c>
      <c r="D7141" s="11" t="s">
        <v>948</v>
      </c>
    </row>
    <row r="7142" spans="1:4" ht="45">
      <c r="A7142" s="5" t="str">
        <f>HYPERLINK("https://www.oit.va.gov/Services/TRM/ToolPage.aspx?tid=14044^","Analysis of Functional Neuro Images (AFNI)")</f>
        <v>Analysis of Functional Neuro Images (AFNI)</v>
      </c>
      <c r="B7142" s="4" t="s">
        <v>5636</v>
      </c>
      <c r="C7142" s="8" t="s">
        <v>5</v>
      </c>
      <c r="D7142" s="11" t="s">
        <v>5637</v>
      </c>
    </row>
    <row r="7143" spans="1:4" ht="30">
      <c r="A7143" s="5" t="str">
        <f>HYPERLINK("https://www.oit.va.gov/Services/TRM/ToolPage.aspx?tid=13051^","Seg3D")</f>
        <v>Seg3D</v>
      </c>
      <c r="B7143" s="4" t="s">
        <v>3510</v>
      </c>
      <c r="C7143" s="8" t="s">
        <v>5</v>
      </c>
      <c r="D7143" s="11" t="s">
        <v>3511</v>
      </c>
    </row>
    <row r="7144" spans="1:4" ht="30">
      <c r="A7144" s="5" t="str">
        <f>HYPERLINK("https://www.oit.va.gov/Services/TRM/ToolPage.aspx?tid=6764^","LISREL for Windows")</f>
        <v>LISREL for Windows</v>
      </c>
      <c r="B7144" s="4" t="s">
        <v>1696</v>
      </c>
      <c r="C7144" s="8" t="s">
        <v>5</v>
      </c>
      <c r="D7144" s="11" t="s">
        <v>57</v>
      </c>
    </row>
    <row r="7145" spans="1:4" ht="30">
      <c r="A7145" s="5" t="str">
        <f>HYPERLINK("https://www.oit.va.gov/Services/TRM/ToolPage.aspx?tid=6761^","Hierarchical Linear and Nonlinear Modeling (HLM)")</f>
        <v>Hierarchical Linear and Nonlinear Modeling (HLM)</v>
      </c>
      <c r="B7145" s="4" t="s">
        <v>1696</v>
      </c>
      <c r="C7145" s="8" t="s">
        <v>5</v>
      </c>
      <c r="D7145" s="11" t="s">
        <v>5687</v>
      </c>
    </row>
    <row r="7146" spans="1:4" ht="30">
      <c r="A7146" s="5" t="str">
        <f>HYPERLINK("https://www.oit.va.gov/Services/TRM/ToolPage.aspx?tid=10885^","sciNote")</f>
        <v>sciNote</v>
      </c>
      <c r="B7146" s="4" t="s">
        <v>4767</v>
      </c>
      <c r="C7146" s="8" t="s">
        <v>5</v>
      </c>
      <c r="D7146" s="11" t="s">
        <v>4768</v>
      </c>
    </row>
    <row r="7147" spans="1:4" ht="30">
      <c r="A7147" s="5" t="str">
        <f>HYPERLINK("https://www.oit.va.gov/Services/TRM/ToolPage.aspx?tid=11066^","SCIntilla based Text Editor (SciTE)")</f>
        <v>SCIntilla based Text Editor (SciTE)</v>
      </c>
      <c r="B7147" s="4" t="s">
        <v>2182</v>
      </c>
      <c r="C7147" s="8" t="s">
        <v>5</v>
      </c>
      <c r="D7147" s="11" t="s">
        <v>2183</v>
      </c>
    </row>
    <row r="7148" spans="1:4" ht="30">
      <c r="A7148" s="5" t="str">
        <f>HYPERLINK("https://www.oit.va.gov/Services/TRM/ToolPage.aspx?tid=8596^","Intra Enterprise")</f>
        <v>Intra Enterprise</v>
      </c>
      <c r="B7148" s="4" t="s">
        <v>1660</v>
      </c>
      <c r="C7148" s="8" t="s">
        <v>5</v>
      </c>
      <c r="D7148" s="11" t="s">
        <v>1661</v>
      </c>
    </row>
    <row r="7149" spans="1:4" ht="30">
      <c r="A7149" s="5" t="str">
        <f>HYPERLINK("https://www.oit.va.gov/Services/TRM/ToolPage.aspx?tid=8310^","Beyond Compare")</f>
        <v>Beyond Compare</v>
      </c>
      <c r="B7149" s="4" t="s">
        <v>2409</v>
      </c>
      <c r="C7149" s="8" t="s">
        <v>5</v>
      </c>
      <c r="D7149" s="11" t="s">
        <v>2410</v>
      </c>
    </row>
    <row r="7150" spans="1:4" ht="30">
      <c r="A7150" s="5" t="str">
        <f>HYPERLINK("https://www.oit.va.gov/Services/TRM/ToolPage.aspx?tid=14979^","ALM Toolkit")</f>
        <v>ALM Toolkit</v>
      </c>
      <c r="B7150" s="4" t="s">
        <v>5626</v>
      </c>
      <c r="C7150" s="8" t="s">
        <v>5</v>
      </c>
      <c r="D7150" s="11" t="s">
        <v>3745</v>
      </c>
    </row>
    <row r="7151" spans="1:4" ht="30">
      <c r="A7151" s="5" t="str">
        <f>HYPERLINK("https://www.oit.va.gov/Services/TRM/ToolPage.aspx?tid=16784^","Screaming Frog Search Engine Optimization (SEO) Spider")</f>
        <v>Screaming Frog Search Engine Optimization (SEO) Spider</v>
      </c>
      <c r="B7151" s="4" t="s">
        <v>5496</v>
      </c>
      <c r="C7151" s="8" t="s">
        <v>5</v>
      </c>
      <c r="D7151" s="11" t="s">
        <v>207</v>
      </c>
    </row>
    <row r="7152" spans="1:4" ht="30">
      <c r="A7152" s="5" t="str">
        <f>HYPERLINK("https://www.oit.va.gov/Services/TRM/ToolPage.aspx?tid=14567^","ScreenCloud Player")</f>
        <v>ScreenCloud Player</v>
      </c>
      <c r="B7152" s="4" t="s">
        <v>7109</v>
      </c>
      <c r="C7152" s="8" t="s">
        <v>5</v>
      </c>
      <c r="D7152" s="11" t="s">
        <v>7110</v>
      </c>
    </row>
    <row r="7153" spans="1:4" ht="30">
      <c r="A7153" s="5" t="str">
        <f>HYPERLINK("https://www.oit.va.gov/Services/TRM/ToolPage.aspx?tid=14674^","Screenleap")</f>
        <v>Screenleap</v>
      </c>
      <c r="B7153" s="4" t="s">
        <v>8599</v>
      </c>
      <c r="C7153" s="8" t="s">
        <v>5</v>
      </c>
      <c r="D7153" s="11" t="s">
        <v>8600</v>
      </c>
    </row>
    <row r="7154" spans="1:4" ht="30">
      <c r="A7154" s="5" t="str">
        <f>HYPERLINK("https://www.oit.va.gov/Services/TRM/ToolPage.aspx?tid=10828^","ScriptPro (SP) Central Workflow System")</f>
        <v>ScriptPro (SP) Central Workflow System</v>
      </c>
      <c r="B7154" s="4" t="s">
        <v>1916</v>
      </c>
      <c r="C7154" s="8" t="s">
        <v>5</v>
      </c>
      <c r="D7154" s="11" t="s">
        <v>167</v>
      </c>
    </row>
    <row r="7155" spans="1:4" ht="30">
      <c r="A7155" s="5" t="str">
        <f>HYPERLINK("https://www.oit.va.gov/Services/TRM/ToolPage.aspx?tid=10856^","SP Central Server")</f>
        <v>SP Central Server</v>
      </c>
      <c r="B7155" s="4" t="s">
        <v>1916</v>
      </c>
      <c r="C7155" s="8" t="s">
        <v>5</v>
      </c>
      <c r="D7155" s="11" t="s">
        <v>4832</v>
      </c>
    </row>
    <row r="7156" spans="1:4" ht="30">
      <c r="A7156" s="5" t="str">
        <f>HYPERLINK("https://www.oit.va.gov/Services/TRM/ToolPage.aspx?tid=10814^","ScriptPro Inventory Management (SIM)")</f>
        <v>ScriptPro Inventory Management (SIM)</v>
      </c>
      <c r="B7156" s="4" t="s">
        <v>1916</v>
      </c>
      <c r="C7156" s="8" t="s">
        <v>5</v>
      </c>
      <c r="D7156" s="11" t="s">
        <v>550</v>
      </c>
    </row>
    <row r="7157" spans="1:4" ht="30">
      <c r="A7157" s="5" t="str">
        <f>HYPERLINK("https://www.oit.va.gov/Services/TRM/ToolPage.aspx?tid=16061^","ScriptRunner for Jira")</f>
        <v>ScriptRunner for Jira</v>
      </c>
      <c r="B7157" s="4" t="s">
        <v>4770</v>
      </c>
      <c r="C7157" s="8" t="s">
        <v>5</v>
      </c>
      <c r="D7157" s="11" t="s">
        <v>4771</v>
      </c>
    </row>
    <row r="7158" spans="1:4" ht="30">
      <c r="A7158" s="5" t="str">
        <f>HYPERLINK("https://www.oit.va.gov/Services/TRM/ToolPage.aspx?tid=12987^","AstraPro Software")</f>
        <v>AstraPro Software</v>
      </c>
      <c r="B7158" s="4" t="s">
        <v>7493</v>
      </c>
      <c r="C7158" s="8" t="s">
        <v>5</v>
      </c>
      <c r="D7158" s="11" t="s">
        <v>2219</v>
      </c>
    </row>
    <row r="7159" spans="1:4" ht="30">
      <c r="A7159" s="5" t="str">
        <f>HYPERLINK("https://www.oit.va.gov/Services/TRM/ToolPage.aspx?tid=7708^","Group Policy Automation Engine")</f>
        <v>Group Policy Automation Engine</v>
      </c>
      <c r="B7159" s="4" t="s">
        <v>4198</v>
      </c>
      <c r="C7159" s="8" t="s">
        <v>5</v>
      </c>
      <c r="D7159" s="11" t="s">
        <v>2726</v>
      </c>
    </row>
    <row r="7160" spans="1:4" ht="30">
      <c r="A7160" s="5" t="str">
        <f>HYPERLINK("https://www.oit.va.gov/Services/TRM/ToolPage.aspx?tid=7719^","Group Policy Object (GPO) Compare")</f>
        <v>Group Policy Object (GPO) Compare</v>
      </c>
      <c r="B7160" s="4" t="s">
        <v>4198</v>
      </c>
      <c r="C7160" s="8" t="s">
        <v>5</v>
      </c>
      <c r="D7160" s="11" t="s">
        <v>5840</v>
      </c>
    </row>
    <row r="7161" spans="1:4" ht="30">
      <c r="A7161" s="5" t="str">
        <f>HYPERLINK("https://www.oit.va.gov/Services/TRM/ToolPage.aspx?tid=8412^","Group Policy Compliance Manager")</f>
        <v>Group Policy Compliance Manager</v>
      </c>
      <c r="B7161" s="4" t="s">
        <v>4198</v>
      </c>
      <c r="C7161" s="8" t="s">
        <v>5</v>
      </c>
      <c r="D7161" s="11" t="s">
        <v>6731</v>
      </c>
    </row>
    <row r="7162" spans="1:4" ht="30">
      <c r="A7162" s="5" t="str">
        <f>HYPERLINK("https://www.oit.va.gov/Services/TRM/ToolPage.aspx?tid=7707^","Group Policy Object (GPO) Exporter")</f>
        <v>Group Policy Object (GPO) Exporter</v>
      </c>
      <c r="B7162" s="4" t="s">
        <v>4198</v>
      </c>
      <c r="C7162" s="8" t="s">
        <v>5</v>
      </c>
      <c r="D7162" s="11" t="s">
        <v>2257</v>
      </c>
    </row>
    <row r="7163" spans="1:4" ht="30">
      <c r="A7163" s="5" t="str">
        <f>HYPERLINK("https://www.oit.va.gov/Services/TRM/ToolPage.aspx?tid=12891^","Ultranalysis Suite (UAS)")</f>
        <v>Ultranalysis Suite (UAS)</v>
      </c>
      <c r="B7163" s="4" t="s">
        <v>7264</v>
      </c>
      <c r="C7163" s="8" t="s">
        <v>5</v>
      </c>
      <c r="D7163" s="11" t="s">
        <v>7265</v>
      </c>
    </row>
    <row r="7164" spans="1:4" ht="30">
      <c r="A7164" s="5" t="str">
        <f>HYPERLINK("https://www.oit.va.gov/Services/TRM/ToolPage.aspx?tid=7580^","HURREVAC")</f>
        <v>HURREVAC</v>
      </c>
      <c r="B7164" s="4" t="s">
        <v>3326</v>
      </c>
      <c r="C7164" s="8" t="s">
        <v>5</v>
      </c>
      <c r="D7164" s="11" t="s">
        <v>3327</v>
      </c>
    </row>
    <row r="7165" spans="1:4" ht="30">
      <c r="A7165" s="5" t="str">
        <f>HYPERLINK("https://www.oit.va.gov/Services/TRM/ToolPage.aspx?tid=7346^","BarTender")</f>
        <v>BarTender</v>
      </c>
      <c r="B7165" s="4" t="s">
        <v>1353</v>
      </c>
      <c r="C7165" s="8" t="s">
        <v>5</v>
      </c>
      <c r="D7165" s="11" t="s">
        <v>1354</v>
      </c>
    </row>
    <row r="7166" spans="1:4" ht="30">
      <c r="A7166" s="5" t="str">
        <f>HYPERLINK("https://www.oit.va.gov/Services/TRM/ToolPage.aspx?tid=11412^","SeaMonkey")</f>
        <v>SeaMonkey</v>
      </c>
      <c r="B7166" s="4" t="s">
        <v>7115</v>
      </c>
      <c r="C7166" s="8" t="s">
        <v>5</v>
      </c>
      <c r="D7166" s="11" t="s">
        <v>7116</v>
      </c>
    </row>
    <row r="7167" spans="1:4" ht="30">
      <c r="A7167" s="5" t="str">
        <f>HYPERLINK("https://www.oit.va.gov/Services/TRM/ToolPage.aspx?tid=9032^","JavaScript Object Notation (JSON) in Java")</f>
        <v>JavaScript Object Notation (JSON) in Java</v>
      </c>
      <c r="B7167" s="4" t="s">
        <v>4302</v>
      </c>
      <c r="C7167" s="8" t="s">
        <v>5</v>
      </c>
      <c r="D7167" s="11" t="s">
        <v>4303</v>
      </c>
    </row>
    <row r="7168" spans="1:4" ht="30">
      <c r="A7168" s="5" t="str">
        <f>HYPERLINK("https://www.oit.va.gov/Services/TRM/ToolPage.aspx?tid=16316^","Fast Application Programming Interface (FastAPI)")</f>
        <v>Fast Application Programming Interface (FastAPI)</v>
      </c>
      <c r="B7168" s="4" t="s">
        <v>1539</v>
      </c>
      <c r="C7168" s="8" t="s">
        <v>5</v>
      </c>
      <c r="D7168" s="11" t="s">
        <v>1540</v>
      </c>
    </row>
    <row r="7169" spans="1:4" ht="30">
      <c r="A7169" s="5" t="str">
        <f>HYPERLINK("https://www.oit.va.gov/Services/TRM/ToolPage.aspx?tid=13247^","Sysstat")</f>
        <v>Sysstat</v>
      </c>
      <c r="B7169" s="4" t="s">
        <v>3571</v>
      </c>
      <c r="C7169" s="8" t="s">
        <v>5</v>
      </c>
      <c r="D7169" s="11" t="s">
        <v>3572</v>
      </c>
    </row>
    <row r="7170" spans="1:4" ht="30">
      <c r="A7170" s="5" t="str">
        <f>HYPERLINK("https://www.oit.va.gov/Services/TRM/ToolPage.aspx?tid=11487^","Phoresis CORE")</f>
        <v>Phoresis CORE</v>
      </c>
      <c r="B7170" s="4" t="s">
        <v>8428</v>
      </c>
      <c r="C7170" s="8" t="s">
        <v>5</v>
      </c>
      <c r="D7170" s="11" t="s">
        <v>7396</v>
      </c>
    </row>
    <row r="7171" spans="1:4" ht="30">
      <c r="A7171" s="5" t="str">
        <f>HYPERLINK("https://www.oit.va.gov/Services/TRM/ToolPage.aspx?tid=13152^","seca analytics 115")</f>
        <v>seca analytics 115</v>
      </c>
      <c r="B7171" s="4" t="s">
        <v>2940</v>
      </c>
      <c r="C7171" s="8" t="s">
        <v>5</v>
      </c>
      <c r="D7171" s="11" t="s">
        <v>2941</v>
      </c>
    </row>
    <row r="7172" spans="1:4" ht="30">
      <c r="A7172" s="5" t="str">
        <f>HYPERLINK("https://www.oit.va.gov/Services/TRM/ToolPage.aspx?tid=16171^","Connaisseur")</f>
        <v>Connaisseur</v>
      </c>
      <c r="B7172" s="4" t="s">
        <v>5728</v>
      </c>
      <c r="C7172" s="8" t="s">
        <v>5</v>
      </c>
      <c r="D7172" s="11" t="s">
        <v>5729</v>
      </c>
    </row>
    <row r="7173" spans="1:4" ht="30">
      <c r="A7173" s="5" t="str">
        <f>HYPERLINK("https://www.oit.va.gov/Services/TRM/ToolPage.aspx?tid=10833^","Hypertext Transfer Protocol Blackbox (HTTPBlackbox) .NET Edition")</f>
        <v>Hypertext Transfer Protocol Blackbox (HTTPBlackbox) .NET Edition</v>
      </c>
      <c r="B7173" s="4" t="s">
        <v>704</v>
      </c>
      <c r="C7173" s="8" t="s">
        <v>5</v>
      </c>
      <c r="D7173" s="11" t="s">
        <v>705</v>
      </c>
    </row>
    <row r="7174" spans="1:4" ht="30">
      <c r="A7174" s="5" t="str">
        <f>HYPERLINK("https://www.oit.va.gov/Services/TRM/ToolPage.aspx?tid=13776^","SNYPR")</f>
        <v>SNYPR</v>
      </c>
      <c r="B7174" s="4" t="s">
        <v>5514</v>
      </c>
      <c r="C7174" s="8" t="s">
        <v>5</v>
      </c>
      <c r="D7174" s="11" t="s">
        <v>5515</v>
      </c>
    </row>
    <row r="7175" spans="1:4" ht="30">
      <c r="A7175" s="5" t="str">
        <f>HYPERLINK("https://www.oit.va.gov/Services/TRM/ToolPage.aspx?tid=10204^","SecureLogix Enterprise Telephony Management (ETM) System")</f>
        <v>SecureLogix Enterprise Telephony Management (ETM) System</v>
      </c>
      <c r="B7175" s="4" t="s">
        <v>5514</v>
      </c>
      <c r="C7175" s="8" t="s">
        <v>5</v>
      </c>
      <c r="D7175" s="11" t="s">
        <v>7117</v>
      </c>
    </row>
    <row r="7176" spans="1:4" ht="30">
      <c r="A7176" s="5" t="str">
        <f>HYPERLINK("https://www.oit.va.gov/Services/TRM/ToolPage.aspx?tid=8794^","MobileView Platform")</f>
        <v>MobileView Platform</v>
      </c>
      <c r="B7176" s="4" t="s">
        <v>2780</v>
      </c>
      <c r="C7176" s="8" t="s">
        <v>5</v>
      </c>
      <c r="D7176" s="11" t="s">
        <v>2781</v>
      </c>
    </row>
    <row r="7177" spans="1:4" ht="30">
      <c r="A7177" s="5" t="str">
        <f>HYPERLINK("https://www.oit.va.gov/Services/TRM/ToolPage.aspx?tid=16308^","SD Elements")</f>
        <v>SD Elements</v>
      </c>
      <c r="B7177" s="4" t="s">
        <v>4772</v>
      </c>
      <c r="C7177" s="8" t="s">
        <v>5</v>
      </c>
      <c r="D7177" s="11" t="s">
        <v>4773</v>
      </c>
    </row>
    <row r="7178" spans="1:4" ht="30">
      <c r="A7178" s="5" t="str">
        <f>HYPERLINK("https://www.oit.va.gov/Services/TRM/ToolPage.aspx?tid=15200^","Alarm Center")</f>
        <v>Alarm Center</v>
      </c>
      <c r="B7178" s="4" t="s">
        <v>369</v>
      </c>
      <c r="C7178" s="8" t="s">
        <v>5</v>
      </c>
      <c r="D7178" s="11" t="s">
        <v>370</v>
      </c>
    </row>
    <row r="7179" spans="1:4" ht="30">
      <c r="A7179" s="5" t="str">
        <f>HYPERLINK("https://www.oit.va.gov/Services/TRM/ToolPage.aspx?tid=15028^","Seek Scan Thermal Imaging Software")</f>
        <v>Seek Scan Thermal Imaging Software</v>
      </c>
      <c r="B7179" s="4" t="s">
        <v>7118</v>
      </c>
      <c r="C7179" s="8" t="s">
        <v>5</v>
      </c>
      <c r="D7179" s="11" t="s">
        <v>7119</v>
      </c>
    </row>
    <row r="7180" spans="1:4" ht="30">
      <c r="A7180" s="5" t="str">
        <f>HYPERLINK("https://www.oit.va.gov/Services/TRM/ToolPage.aspx?tid=15410^","LeapFrog Viewer")</f>
        <v>LeapFrog Viewer</v>
      </c>
      <c r="B7180" s="4" t="s">
        <v>8167</v>
      </c>
      <c r="C7180" s="8" t="s">
        <v>5</v>
      </c>
      <c r="D7180" s="11" t="s">
        <v>1608</v>
      </c>
    </row>
    <row r="7181" spans="1:4" ht="30">
      <c r="A7181" s="5" t="str">
        <f>HYPERLINK("https://www.oit.va.gov/Services/TRM/ToolPage.aspx?tid=15426^","Segami Oasis Architecture")</f>
        <v>Segami Oasis Architecture</v>
      </c>
      <c r="B7181" s="4" t="s">
        <v>7120</v>
      </c>
      <c r="C7181" s="8" t="s">
        <v>5</v>
      </c>
      <c r="D7181" s="11" t="s">
        <v>3044</v>
      </c>
    </row>
    <row r="7182" spans="1:4" ht="30">
      <c r="A7182" s="5" t="str">
        <f>HYPERLINK("https://www.oit.va.gov/Services/TRM/ToolPage.aspx?tid=16245^","Chamber")</f>
        <v>Chamber</v>
      </c>
      <c r="B7182" s="4" t="s">
        <v>3905</v>
      </c>
      <c r="C7182" s="8" t="s">
        <v>5</v>
      </c>
      <c r="D7182" s="11" t="s">
        <v>2100</v>
      </c>
    </row>
    <row r="7183" spans="1:4" ht="30">
      <c r="A7183" s="5" t="str">
        <f>HYPERLINK("https://www.oit.va.gov/Services/TRM/ToolPage.aspx?tid=5718^","Smart Label Creator Software")</f>
        <v>Smart Label Creator Software</v>
      </c>
      <c r="B7183" s="4" t="s">
        <v>2962</v>
      </c>
      <c r="C7183" s="8" t="s">
        <v>5</v>
      </c>
      <c r="D7183" s="11" t="s">
        <v>2963</v>
      </c>
    </row>
    <row r="7184" spans="1:4" ht="30">
      <c r="A7184" s="5" t="str">
        <f>HYPERLINK("https://www.oit.va.gov/Services/TRM/ToolPage.aspx?tid=16386^","SelectorsHub")</f>
        <v>SelectorsHub</v>
      </c>
      <c r="B7184" s="4" t="s">
        <v>7121</v>
      </c>
      <c r="C7184" s="8" t="s">
        <v>5</v>
      </c>
      <c r="D7184" s="11" t="s">
        <v>7122</v>
      </c>
    </row>
    <row r="7185" spans="1:4" ht="30">
      <c r="A7185" s="5" t="str">
        <f>HYPERLINK("https://www.oit.va.gov/Services/TRM/ToolPage.aspx?tid=13538^","SelectPro")</f>
        <v>SelectPro</v>
      </c>
      <c r="B7185" s="4" t="s">
        <v>8612</v>
      </c>
      <c r="C7185" s="8" t="s">
        <v>5</v>
      </c>
      <c r="D7185" s="11" t="s">
        <v>8613</v>
      </c>
    </row>
    <row r="7186" spans="1:4" ht="30">
      <c r="A7186" s="5" t="str">
        <f>HYPERLINK("https://www.oit.va.gov/Services/TRM/ToolPage.aspx?tid=6440^","Selenium")</f>
        <v>Selenium</v>
      </c>
      <c r="B7186" s="4" t="s">
        <v>110</v>
      </c>
      <c r="C7186" s="8" t="s">
        <v>5</v>
      </c>
      <c r="D7186" s="11" t="s">
        <v>111</v>
      </c>
    </row>
    <row r="7187" spans="1:4" ht="30">
      <c r="A7187" s="5" t="str">
        <f>HYPERLINK("https://www.oit.va.gov/Services/TRM/ToolPage.aspx?tid=11785^","PoolParty Server")</f>
        <v>PoolParty Server</v>
      </c>
      <c r="B7187" s="4" t="s">
        <v>7011</v>
      </c>
      <c r="C7187" s="8" t="s">
        <v>5</v>
      </c>
      <c r="D7187" s="11" t="s">
        <v>3359</v>
      </c>
    </row>
    <row r="7188" spans="1:4" ht="30">
      <c r="A7188" s="5" t="str">
        <f>HYPERLINK("https://www.oit.va.gov/Services/TRM/ToolPage.aspx?tid=7290^","Semantic Open Source Software (SEMOSS)")</f>
        <v>Semantic Open Source Software (SEMOSS)</v>
      </c>
      <c r="B7188" s="4" t="s">
        <v>4776</v>
      </c>
      <c r="C7188" s="8" t="s">
        <v>5</v>
      </c>
      <c r="D7188" s="11" t="s">
        <v>4777</v>
      </c>
    </row>
    <row r="7189" spans="1:4" ht="30">
      <c r="A7189" s="5" t="str">
        <f>HYPERLINK("https://www.oit.va.gov/Services/TRM/ToolPage.aspx?tid=7913^","Sencha Ext JavaScript (JS)")</f>
        <v>Sencha Ext JavaScript (JS)</v>
      </c>
      <c r="B7189" s="4" t="s">
        <v>323</v>
      </c>
      <c r="C7189" s="8" t="s">
        <v>5</v>
      </c>
      <c r="D7189" s="11" t="s">
        <v>324</v>
      </c>
    </row>
    <row r="7190" spans="1:4" ht="30">
      <c r="A7190" s="5" t="str">
        <f>HYPERLINK("https://www.oit.va.gov/Services/TRM/ToolPage.aspx?tid=9894^","Connect for Node.Js")</f>
        <v>Connect for Node.Js</v>
      </c>
      <c r="B7190" s="4" t="s">
        <v>323</v>
      </c>
      <c r="C7190" s="8" t="s">
        <v>5</v>
      </c>
      <c r="D7190" s="11" t="s">
        <v>385</v>
      </c>
    </row>
    <row r="7191" spans="1:4" ht="30">
      <c r="A7191" s="5" t="str">
        <f>HYPERLINK("https://www.oit.va.gov/Services/TRM/ToolPage.aspx?tid=9575^","Sennheiser HeadSetup Pro")</f>
        <v>Sennheiser HeadSetup Pro</v>
      </c>
      <c r="B7191" s="4" t="s">
        <v>1250</v>
      </c>
      <c r="C7191" s="8" t="s">
        <v>5</v>
      </c>
      <c r="D7191" s="11" t="s">
        <v>919</v>
      </c>
    </row>
    <row r="7192" spans="1:4" ht="30">
      <c r="A7192" s="5" t="str">
        <f>HYPERLINK("https://www.oit.va.gov/Services/TRM/ToolPage.aspx?tid=9415^","TempTale Manager Desktop (TTMD)")</f>
        <v>TempTale Manager Desktop (TTMD)</v>
      </c>
      <c r="B7192" s="4" t="s">
        <v>6105</v>
      </c>
      <c r="C7192" s="8" t="s">
        <v>5</v>
      </c>
      <c r="D7192" s="11" t="s">
        <v>2932</v>
      </c>
    </row>
    <row r="7193" spans="1:4" ht="30">
      <c r="A7193" s="5" t="str">
        <f>HYPERLINK("https://www.oit.va.gov/Services/TRM/ToolPage.aspx?tid=7739^","Sensu")</f>
        <v>Sensu</v>
      </c>
      <c r="B7193" s="4" t="s">
        <v>7126</v>
      </c>
      <c r="C7193" s="8" t="s">
        <v>5</v>
      </c>
      <c r="D7193" s="11" t="s">
        <v>7127</v>
      </c>
    </row>
    <row r="7194" spans="1:4" ht="30">
      <c r="A7194" s="5" t="str">
        <f>HYPERLINK("https://www.oit.va.gov/Services/TRM/ToolPage.aspx?tid=8500^","Sentech StCamSWare")</f>
        <v>Sentech StCamSWare</v>
      </c>
      <c r="B7194" s="4" t="s">
        <v>8619</v>
      </c>
      <c r="C7194" s="8" t="s">
        <v>5</v>
      </c>
      <c r="D7194" s="11" t="s">
        <v>8604</v>
      </c>
    </row>
    <row r="7195" spans="1:4" ht="30">
      <c r="A7195" s="5" t="str">
        <f>HYPERLINK("https://www.oit.va.gov/Services/TRM/ToolPage.aspx?tid=16672^","Sentry (Self-Hosted)")</f>
        <v>Sentry (Self-Hosted)</v>
      </c>
      <c r="B7195" s="4" t="s">
        <v>8620</v>
      </c>
      <c r="C7195" s="8" t="s">
        <v>5</v>
      </c>
      <c r="D7195" s="11" t="s">
        <v>8621</v>
      </c>
    </row>
    <row r="7196" spans="1:4" ht="30">
      <c r="A7196" s="5" t="str">
        <f>HYPERLINK("https://www.oit.va.gov/Services/TRM/ToolPage.aspx?tid=7395^","DOC xPress")</f>
        <v>DOC xPress</v>
      </c>
      <c r="B7196" s="4" t="s">
        <v>6528</v>
      </c>
      <c r="C7196" s="8" t="s">
        <v>5</v>
      </c>
      <c r="D7196" s="11" t="s">
        <v>6529</v>
      </c>
    </row>
    <row r="7197" spans="1:4" ht="30">
      <c r="A7197" s="5" t="str">
        <f>HYPERLINK("https://www.oit.va.gov/Services/TRM/ToolPage.aspx?tid=13598^","Space and Equipment Planning 2 Business Information Modeling Utility (SEPS 2 BIM)")</f>
        <v>Space and Equipment Planning 2 Business Information Modeling Utility (SEPS 2 BIM)</v>
      </c>
      <c r="B7197" s="4" t="s">
        <v>5517</v>
      </c>
      <c r="C7197" s="8" t="s">
        <v>5</v>
      </c>
      <c r="D7197" s="11" t="s">
        <v>5518</v>
      </c>
    </row>
    <row r="7198" spans="1:4" ht="30">
      <c r="A7198" s="5" t="str">
        <f>HYPERLINK("https://www.oit.va.gov/Services/TRM/ToolPage.aspx?tid=10100^","Serengeti 3770 C LINK Client")</f>
        <v>Serengeti 3770 C LINK Client</v>
      </c>
      <c r="B7198" s="4" t="s">
        <v>1098</v>
      </c>
      <c r="C7198" s="8" t="s">
        <v>5</v>
      </c>
      <c r="D7198" s="11" t="s">
        <v>1099</v>
      </c>
    </row>
    <row r="7199" spans="1:4" ht="30">
      <c r="A7199" s="5" t="str">
        <f>HYPERLINK("https://www.oit.va.gov/Services/TRM/ToolPage.aspx?tid=15421^","Serilog")</f>
        <v>Serilog</v>
      </c>
      <c r="B7199" s="4" t="s">
        <v>8622</v>
      </c>
      <c r="C7199" s="8" t="s">
        <v>5</v>
      </c>
      <c r="D7199" s="11" t="s">
        <v>8623</v>
      </c>
    </row>
    <row r="7200" spans="1:4" ht="30">
      <c r="A7200" s="5" t="str">
        <f>HYPERLINK("https://www.oit.va.gov/Services/TRM/ToolPage.aspx?tid=8323^","ServiceWatch")</f>
        <v>ServiceWatch</v>
      </c>
      <c r="B7200" s="4" t="s">
        <v>8628</v>
      </c>
      <c r="C7200" s="8" t="s">
        <v>5</v>
      </c>
      <c r="D7200" s="11" t="s">
        <v>8629</v>
      </c>
    </row>
    <row r="7201" spans="1:4" ht="30">
      <c r="A7201" s="5" t="str">
        <f>HYPERLINK("https://www.oit.va.gov/Services/TRM/ToolPage.aspx?tid=11456^","FIRESTAR")</f>
        <v>FIRESTAR</v>
      </c>
      <c r="B7201" s="4" t="s">
        <v>7929</v>
      </c>
      <c r="C7201" s="8" t="s">
        <v>5</v>
      </c>
      <c r="D7201" s="11" t="s">
        <v>7930</v>
      </c>
    </row>
    <row r="7202" spans="1:4" ht="30">
      <c r="A7202" s="5" t="str">
        <f>HYPERLINK("https://www.oit.va.gov/Services/TRM/ToolPage.aspx?tid=15484^","St. George`s Respiratory Questionnaire (SGRQ)")</f>
        <v>St. George`s Respiratory Questionnaire (SGRQ)</v>
      </c>
      <c r="B7202" s="4" t="s">
        <v>538</v>
      </c>
      <c r="C7202" s="8" t="s">
        <v>5</v>
      </c>
      <c r="D7202" s="11" t="s">
        <v>539</v>
      </c>
    </row>
    <row r="7203" spans="1:4" ht="30">
      <c r="A7203" s="5" t="str">
        <f>HYPERLINK("https://www.oit.va.gov/Services/TRM/ToolPage.aspx?tid=16718^","Psychology Experiment Building Language (PEBL)")</f>
        <v>Psychology Experiment Building Language (PEBL)</v>
      </c>
      <c r="B7203" s="4" t="s">
        <v>5450</v>
      </c>
      <c r="C7203" s="8" t="s">
        <v>5</v>
      </c>
      <c r="D7203" s="11" t="s">
        <v>4449</v>
      </c>
    </row>
    <row r="7204" spans="1:4" ht="30">
      <c r="A7204" s="5" t="str">
        <f>HYPERLINK("https://www.oit.va.gov/Services/TRM/ToolPage.aspx?tid=10670^","ShareGate")</f>
        <v>ShareGate</v>
      </c>
      <c r="B7204" s="4" t="s">
        <v>1919</v>
      </c>
      <c r="C7204" s="8" t="s">
        <v>5</v>
      </c>
      <c r="D7204" s="11" t="s">
        <v>1920</v>
      </c>
    </row>
    <row r="7205" spans="1:4" ht="30">
      <c r="A7205" s="5" t="str">
        <f>HYPERLINK("https://www.oit.va.gov/Services/TRM/ToolPage.aspx?tid=14215^","ListBooster")</f>
        <v>ListBooster</v>
      </c>
      <c r="B7205" s="4" t="s">
        <v>6792</v>
      </c>
      <c r="C7205" s="8" t="s">
        <v>5</v>
      </c>
      <c r="D7205" s="11" t="s">
        <v>3470</v>
      </c>
    </row>
    <row r="7206" spans="1:4" ht="30">
      <c r="A7206" s="5" t="str">
        <f>HYPERLINK("https://www.oit.va.gov/Services/TRM/ToolPage.aspx?tid=6731^","SC UniPad")</f>
        <v>SC UniPad</v>
      </c>
      <c r="B7206" s="4" t="s">
        <v>7103</v>
      </c>
      <c r="C7206" s="8" t="s">
        <v>5</v>
      </c>
      <c r="D7206" s="11" t="s">
        <v>7104</v>
      </c>
    </row>
    <row r="7207" spans="1:4" ht="30">
      <c r="A7207" s="5" t="str">
        <f>HYPERLINK("https://www.oit.va.gov/Services/TRM/ToolPage.aspx?tid=7666^","Sharp Pen Software")</f>
        <v>Sharp Pen Software</v>
      </c>
      <c r="B7207" s="4" t="s">
        <v>5506</v>
      </c>
      <c r="C7207" s="8" t="s">
        <v>5</v>
      </c>
      <c r="D7207" s="11" t="s">
        <v>4791</v>
      </c>
    </row>
    <row r="7208" spans="1:4" ht="30">
      <c r="A7208" s="5" t="str">
        <f>HYPERLINK("https://www.oit.va.gov/Services/TRM/ToolPage.aspx?tid=8268^","Sharpdesk")</f>
        <v>Sharpdesk</v>
      </c>
      <c r="B7208" s="4" t="s">
        <v>5506</v>
      </c>
      <c r="C7208" s="8" t="s">
        <v>5</v>
      </c>
      <c r="D7208" s="11" t="s">
        <v>4251</v>
      </c>
    </row>
    <row r="7209" spans="1:4" ht="30">
      <c r="A7209" s="5" t="str">
        <f>HYPERLINK("https://www.oit.va.gov/Services/TRM/ToolPage.aspx?tid=8502^","SharpCloud Server/Services")</f>
        <v>SharpCloud Server/Services</v>
      </c>
      <c r="B7209" s="4" t="s">
        <v>8636</v>
      </c>
      <c r="C7209" s="8" t="s">
        <v>5</v>
      </c>
      <c r="D7209" s="11" t="s">
        <v>3406</v>
      </c>
    </row>
    <row r="7210" spans="1:4" ht="30">
      <c r="A7210" s="5" t="str">
        <f>HYPERLINK("https://www.oit.va.gov/Services/TRM/ToolPage.aspx?tid=7460^","PLINK")</f>
        <v>PLINK</v>
      </c>
      <c r="B7210" s="4" t="s">
        <v>8439</v>
      </c>
      <c r="C7210" s="8" t="s">
        <v>5</v>
      </c>
      <c r="D7210" s="11" t="s">
        <v>4890</v>
      </c>
    </row>
    <row r="7211" spans="1:4" ht="30">
      <c r="A7211" s="5" t="str">
        <f>HYPERLINK("https://www.oit.va.gov/Services/TRM/ToolPage.aspx?tid=7461^","PLINK/SEQ")</f>
        <v>PLINK/SEQ</v>
      </c>
      <c r="B7211" s="4" t="s">
        <v>8439</v>
      </c>
      <c r="C7211" s="8" t="s">
        <v>5</v>
      </c>
      <c r="D7211" s="11" t="s">
        <v>8440</v>
      </c>
    </row>
    <row r="7212" spans="1:4" ht="30">
      <c r="A7212" s="5" t="str">
        <f>HYPERLINK("https://www.oit.va.gov/Services/TRM/ToolPage.aspx?tid=9584^","LabSolutions Insight")</f>
        <v>LabSolutions Insight</v>
      </c>
      <c r="B7212" s="4" t="s">
        <v>5302</v>
      </c>
      <c r="C7212" s="8" t="s">
        <v>5</v>
      </c>
      <c r="D7212" s="11" t="s">
        <v>5303</v>
      </c>
    </row>
    <row r="7213" spans="1:4" ht="30">
      <c r="A7213" s="5" t="str">
        <f>HYPERLINK("https://www.oit.va.gov/Services/TRM/ToolPage.aspx?tid=10031^","UVProbe")</f>
        <v>UVProbe</v>
      </c>
      <c r="B7213" s="4" t="s">
        <v>5302</v>
      </c>
      <c r="C7213" s="8" t="s">
        <v>5</v>
      </c>
      <c r="D7213" s="11" t="s">
        <v>305</v>
      </c>
    </row>
    <row r="7214" spans="1:4" ht="30">
      <c r="A7214" s="5" t="str">
        <f>HYPERLINK("https://www.oit.va.gov/Services/TRM/ToolPage.aspx?tid=16306^","Consensys")</f>
        <v>Consensys</v>
      </c>
      <c r="B7214" s="4" t="s">
        <v>3967</v>
      </c>
      <c r="C7214" s="8" t="s">
        <v>5</v>
      </c>
      <c r="D7214" s="11" t="s">
        <v>3968</v>
      </c>
    </row>
    <row r="7215" spans="1:4" ht="30">
      <c r="A7215" s="5" t="str">
        <f>HYPERLINK("https://www.oit.va.gov/Services/TRM/ToolPage.aspx?tid=9502^","Catamaran Platform")</f>
        <v>Catamaran Platform</v>
      </c>
      <c r="B7215" s="4" t="s">
        <v>5697</v>
      </c>
      <c r="C7215" s="8" t="s">
        <v>5</v>
      </c>
      <c r="D7215" s="11" t="s">
        <v>3171</v>
      </c>
    </row>
    <row r="7216" spans="1:4" ht="30">
      <c r="A7216" s="5" t="str">
        <f>HYPERLINK("https://www.oit.va.gov/Services/TRM/ToolPage.aspx?tid=7954^","Catamaran Point of Use (POU) Inventory System")</f>
        <v>Catamaran Point of Use (POU) Inventory System</v>
      </c>
      <c r="B7216" s="4" t="s">
        <v>5697</v>
      </c>
      <c r="C7216" s="8" t="s">
        <v>5</v>
      </c>
      <c r="D7216" s="11" t="s">
        <v>648</v>
      </c>
    </row>
    <row r="7217" spans="1:4" ht="30">
      <c r="A7217" s="5" t="str">
        <f>HYPERLINK("https://www.oit.va.gov/Services/TRM/ToolPage.aspx?tid=13775^","Shooter Detection Systems (SDS) Gateway Application")</f>
        <v>Shooter Detection Systems (SDS) Gateway Application</v>
      </c>
      <c r="B7217" s="4" t="s">
        <v>8637</v>
      </c>
      <c r="C7217" s="8" t="s">
        <v>5</v>
      </c>
      <c r="D7217" s="11" t="s">
        <v>8638</v>
      </c>
    </row>
    <row r="7218" spans="1:4" ht="30">
      <c r="A7218" s="5" t="str">
        <f>HYPERLINK("https://www.oit.va.gov/Services/TRM/ToolPage.aspx?tid=11063^","Shouldly")</f>
        <v>Shouldly</v>
      </c>
      <c r="B7218" s="4" t="s">
        <v>8642</v>
      </c>
      <c r="C7218" s="8" t="s">
        <v>5</v>
      </c>
      <c r="D7218" s="11" t="s">
        <v>2071</v>
      </c>
    </row>
    <row r="7219" spans="1:4" ht="30">
      <c r="A7219" s="5" t="str">
        <f>HYPERLINK("https://www.oit.va.gov/Services/TRM/ToolPage.aspx?tid=14093^","ShowMyPC")</f>
        <v>ShowMyPC</v>
      </c>
      <c r="B7219" s="4" t="s">
        <v>8643</v>
      </c>
      <c r="C7219" s="8" t="s">
        <v>5</v>
      </c>
      <c r="D7219" s="11" t="s">
        <v>8644</v>
      </c>
    </row>
    <row r="7220" spans="1:4" ht="30">
      <c r="A7220" s="5" t="str">
        <f>HYPERLINK("https://www.oit.va.gov/Services/TRM/ToolPage.aspx?tid=15531^","ShurePlus Motiv Desktop")</f>
        <v>ShurePlus Motiv Desktop</v>
      </c>
      <c r="B7220" s="4" t="s">
        <v>1100</v>
      </c>
      <c r="C7220" s="8" t="s">
        <v>5</v>
      </c>
      <c r="D7220" s="11" t="s">
        <v>1101</v>
      </c>
    </row>
    <row r="7221" spans="1:4" ht="30">
      <c r="A7221" s="5" t="str">
        <f>HYPERLINK("https://www.oit.va.gov/Services/TRM/ToolPage.aspx?tid=7476^","LiveWeb")</f>
        <v>LiveWeb</v>
      </c>
      <c r="B7221" s="4" t="s">
        <v>2147</v>
      </c>
      <c r="C7221" s="8" t="s">
        <v>5</v>
      </c>
      <c r="D7221" s="11" t="s">
        <v>2148</v>
      </c>
    </row>
    <row r="7222" spans="1:4" ht="30">
      <c r="A7222" s="5" t="str">
        <f>HYPERLINK("https://www.oit.va.gov/Services/TRM/ToolPage.aspx?tid=11777^","Dispen-SI-Matic Picking Director Software")</f>
        <v>Dispen-SI-Matic Picking Director Software</v>
      </c>
      <c r="B7222" s="4" t="s">
        <v>5770</v>
      </c>
      <c r="C7222" s="8" t="s">
        <v>5</v>
      </c>
      <c r="D7222" s="11" t="s">
        <v>652</v>
      </c>
    </row>
    <row r="7223" spans="1:4" ht="30">
      <c r="A7223" s="5" t="str">
        <f>HYPERLINK("https://www.oit.va.gov/Services/TRM/ToolPage.aspx?tid=16771^","Houdini")</f>
        <v>Houdini</v>
      </c>
      <c r="B7223" s="4" t="s">
        <v>2646</v>
      </c>
      <c r="C7223" s="8" t="s">
        <v>5</v>
      </c>
      <c r="D7223" s="11" t="s">
        <v>2647</v>
      </c>
    </row>
    <row r="7224" spans="1:4" ht="30">
      <c r="A7224" s="5" t="str">
        <f>HYPERLINK("https://www.oit.va.gov/Services/TRM/ToolPage.aspx?tid=16088^","Sidekiq")</f>
        <v>Sidekiq</v>
      </c>
      <c r="B7224" s="4" t="s">
        <v>8646</v>
      </c>
      <c r="C7224" s="8" t="s">
        <v>5</v>
      </c>
      <c r="D7224" s="11" t="s">
        <v>8647</v>
      </c>
    </row>
    <row r="7225" spans="1:4" ht="30">
      <c r="A7225" s="5" t="str">
        <f>HYPERLINK("https://www.oit.va.gov/Services/TRM/ToolPage.aspx?tid=15148^","Pinnacle Access Control Platform")</f>
        <v>Pinnacle Access Control Platform</v>
      </c>
      <c r="B7225" s="4" t="s">
        <v>4607</v>
      </c>
      <c r="C7225" s="8" t="s">
        <v>5</v>
      </c>
      <c r="D7225" s="11" t="s">
        <v>4567</v>
      </c>
    </row>
    <row r="7226" spans="1:4" ht="30">
      <c r="A7226" s="5" t="str">
        <f>HYPERLINK("https://www.oit.va.gov/Services/TRM/ToolPage.aspx?tid=9098^","Siemens syngo.via")</f>
        <v>Siemens syngo.via</v>
      </c>
      <c r="B7226" s="4" t="s">
        <v>1207</v>
      </c>
      <c r="C7226" s="8" t="s">
        <v>5</v>
      </c>
      <c r="D7226" s="11" t="s">
        <v>1208</v>
      </c>
    </row>
    <row r="7227" spans="1:4" ht="30">
      <c r="A7227" s="5" t="str">
        <f>HYPERLINK("https://www.oit.va.gov/Services/TRM/ToolPage.aspx?tid=10649^","Acuson S Family Ultrasound System")</f>
        <v>Acuson S Family Ultrasound System</v>
      </c>
      <c r="B7227" s="4" t="s">
        <v>1207</v>
      </c>
      <c r="C7227" s="8" t="s">
        <v>5</v>
      </c>
      <c r="D7227" s="11" t="s">
        <v>3102</v>
      </c>
    </row>
    <row r="7228" spans="1:4" ht="30">
      <c r="A7228" s="5" t="str">
        <f>HYPERLINK("https://www.oit.va.gov/Services/TRM/ToolPage.aspx?tid=9009^","Desigo CC")</f>
        <v>Desigo CC</v>
      </c>
      <c r="B7228" s="4" t="s">
        <v>1207</v>
      </c>
      <c r="C7228" s="8" t="s">
        <v>5</v>
      </c>
      <c r="D7228" s="11" t="s">
        <v>766</v>
      </c>
    </row>
    <row r="7229" spans="1:4" ht="30">
      <c r="A7229" s="5" t="str">
        <f>HYPERLINK("https://www.oit.va.gov/Services/TRM/ToolPage.aspx?tid=11208^","Sensis Vibe")</f>
        <v>Sensis Vibe</v>
      </c>
      <c r="B7229" s="4" t="s">
        <v>1207</v>
      </c>
      <c r="C7229" s="8" t="s">
        <v>5</v>
      </c>
      <c r="D7229" s="11" t="s">
        <v>4778</v>
      </c>
    </row>
    <row r="7230" spans="1:4" ht="30">
      <c r="A7230" s="5" t="str">
        <f>HYPERLINK("https://www.oit.va.gov/Services/TRM/ToolPage.aspx?tid=8801^","Desigo Remote Notification (RENO)")</f>
        <v>Desigo Remote Notification (RENO)</v>
      </c>
      <c r="B7230" s="4" t="s">
        <v>1207</v>
      </c>
      <c r="C7230" s="8" t="s">
        <v>5</v>
      </c>
      <c r="D7230" s="11" t="s">
        <v>6502</v>
      </c>
    </row>
    <row r="7231" spans="1:4" ht="30">
      <c r="A7231" s="5" t="str">
        <f>HYPERLINK("https://www.oit.va.gov/Services/TRM/ToolPage.aspx?tid=10897^","InfoCenter Suite Advanced")</f>
        <v>InfoCenter Suite Advanced</v>
      </c>
      <c r="B7231" s="4" t="s">
        <v>1207</v>
      </c>
      <c r="C7231" s="8" t="s">
        <v>5</v>
      </c>
      <c r="D7231" s="11" t="s">
        <v>8079</v>
      </c>
    </row>
    <row r="7232" spans="1:4" ht="30">
      <c r="A7232" s="5" t="str">
        <f>HYPERLINK("https://www.oit.va.gov/Services/TRM/ToolPage.aspx?tid=13720^","Siemens Secure Sockets Layer (SSL) Virtual Private Network (VPN) Client")</f>
        <v>Siemens Secure Sockets Layer (SSL) Virtual Private Network (VPN) Client</v>
      </c>
      <c r="B7232" s="4" t="s">
        <v>1207</v>
      </c>
      <c r="C7232" s="8" t="s">
        <v>5</v>
      </c>
      <c r="D7232" s="11" t="s">
        <v>8649</v>
      </c>
    </row>
    <row r="7233" spans="1:4" ht="30">
      <c r="A7233" s="5" t="str">
        <f>HYPERLINK("https://www.oit.va.gov/Services/TRM/ToolPage.aspx?tid=8354^","Insight Advanced Workstation")</f>
        <v>Insight Advanced Workstation</v>
      </c>
      <c r="B7233" s="4" t="s">
        <v>4262</v>
      </c>
      <c r="C7233" s="8" t="s">
        <v>5</v>
      </c>
      <c r="D7233" s="11" t="s">
        <v>1174</v>
      </c>
    </row>
    <row r="7234" spans="1:4" ht="30">
      <c r="A7234" s="5" t="str">
        <f>HYPERLINK("https://www.oit.va.gov/Services/TRM/ToolPage.aspx?tid=15770^","Symbia.net Clinical Workflow Server")</f>
        <v>Symbia.net Clinical Workflow Server</v>
      </c>
      <c r="B7234" s="4" t="s">
        <v>331</v>
      </c>
      <c r="C7234" s="8" t="s">
        <v>5</v>
      </c>
      <c r="D7234" s="11" t="s">
        <v>332</v>
      </c>
    </row>
    <row r="7235" spans="1:4" ht="30">
      <c r="A7235" s="5" t="str">
        <f>HYPERLINK("https://www.oit.va.gov/Services/TRM/ToolPage.aspx?tid=9074^","RAPIDComm Data Management System")</f>
        <v>RAPIDComm Data Management System</v>
      </c>
      <c r="B7235" s="4" t="s">
        <v>331</v>
      </c>
      <c r="C7235" s="8" t="s">
        <v>5</v>
      </c>
      <c r="D7235" s="11" t="s">
        <v>226</v>
      </c>
    </row>
    <row r="7236" spans="1:4" ht="30">
      <c r="A7236" s="5" t="str">
        <f>HYPERLINK("https://www.oit.va.gov/Services/TRM/ToolPage.aspx?tid=10576^","Syngo Dynamics")</f>
        <v>Syngo Dynamics</v>
      </c>
      <c r="B7236" s="4" t="s">
        <v>331</v>
      </c>
      <c r="C7236" s="8" t="s">
        <v>5</v>
      </c>
      <c r="D7236" s="11" t="s">
        <v>1980</v>
      </c>
    </row>
    <row r="7237" spans="1:4" ht="30">
      <c r="A7237" s="5" t="str">
        <f>HYPERLINK("https://www.oit.va.gov/Services/TRM/ToolPage.aspx?tid=15503^","Atellica Inventory Manager (Atellica IN)")</f>
        <v>Atellica Inventory Manager (Atellica IN)</v>
      </c>
      <c r="B7237" s="4" t="s">
        <v>331</v>
      </c>
      <c r="C7237" s="8" t="s">
        <v>5</v>
      </c>
      <c r="D7237" s="11" t="s">
        <v>500</v>
      </c>
    </row>
    <row r="7238" spans="1:4" ht="30">
      <c r="A7238" s="5" t="str">
        <f>HYPERLINK("https://www.oit.va.gov/Services/TRM/ToolPage.aspx?tid=11223^","epoc Enterprise Data Manager (EDM)")</f>
        <v>epoc Enterprise Data Manager (EDM)</v>
      </c>
      <c r="B7238" s="4" t="s">
        <v>331</v>
      </c>
      <c r="C7238" s="8" t="s">
        <v>5</v>
      </c>
      <c r="D7238" s="11" t="s">
        <v>5182</v>
      </c>
    </row>
    <row r="7239" spans="1:4" ht="30">
      <c r="A7239" s="5" t="str">
        <f>HYPERLINK("https://www.oit.va.gov/Services/TRM/ToolPage.aspx?tid=9047^","Universal Point-of-care (UniPOC) Data Management System")</f>
        <v>Universal Point-of-care (UniPOC) Data Management System</v>
      </c>
      <c r="B7239" s="4" t="s">
        <v>331</v>
      </c>
      <c r="C7239" s="8" t="s">
        <v>5</v>
      </c>
      <c r="D7239" s="11" t="s">
        <v>5632</v>
      </c>
    </row>
    <row r="7240" spans="1:4" ht="30">
      <c r="A7240" s="5" t="str">
        <f>HYPERLINK("https://www.oit.va.gov/Services/TRM/ToolPage.aspx?tid=10219^","CARE Analytics")</f>
        <v>CARE Analytics</v>
      </c>
      <c r="B7240" s="4" t="s">
        <v>331</v>
      </c>
      <c r="C7240" s="8" t="s">
        <v>5</v>
      </c>
      <c r="D7240" s="11" t="s">
        <v>2090</v>
      </c>
    </row>
    <row r="7241" spans="1:4" ht="30">
      <c r="A7241" s="5" t="str">
        <f>HYPERLINK("https://www.oit.va.gov/Services/TRM/ToolPage.aspx?tid=9040^","Conworx Serial To Local Area Network (LAN) Bridge (STLB)")</f>
        <v>Conworx Serial To Local Area Network (LAN) Bridge (STLB)</v>
      </c>
      <c r="B7241" s="4" t="s">
        <v>331</v>
      </c>
      <c r="C7241" s="8" t="s">
        <v>5</v>
      </c>
      <c r="D7241" s="11" t="s">
        <v>2387</v>
      </c>
    </row>
    <row r="7242" spans="1:4" ht="30">
      <c r="A7242" s="5" t="str">
        <f>HYPERLINK("https://www.oit.va.gov/Services/TRM/ToolPage.aspx?tid=14474^","Siemens Teamplay")</f>
        <v>Siemens Teamplay</v>
      </c>
      <c r="B7242" s="4" t="s">
        <v>331</v>
      </c>
      <c r="C7242" s="8" t="s">
        <v>5</v>
      </c>
      <c r="D7242" s="11" t="s">
        <v>8650</v>
      </c>
    </row>
    <row r="7243" spans="1:4" ht="30">
      <c r="A7243" s="5" t="str">
        <f>HYPERLINK("https://www.oit.va.gov/Services/TRM/ToolPage.aspx?tid=11683^","Real Time Quality Control (RTQC) DATA CONVERTER")</f>
        <v>Real Time Quality Control (RTQC) DATA CONVERTER</v>
      </c>
      <c r="B7243" s="4" t="s">
        <v>6030</v>
      </c>
      <c r="C7243" s="8" t="s">
        <v>5</v>
      </c>
      <c r="D7243" s="11" t="s">
        <v>4247</v>
      </c>
    </row>
    <row r="7244" spans="1:4" ht="30">
      <c r="A7244" s="5" t="str">
        <f>HYPERLINK("https://www.oit.va.gov/Services/TRM/ToolPage.aspx?tid=11239^","AirCard Watcher")</f>
        <v>AirCard Watcher</v>
      </c>
      <c r="B7244" s="4" t="s">
        <v>7426</v>
      </c>
      <c r="C7244" s="8" t="s">
        <v>5</v>
      </c>
      <c r="D7244" s="11" t="s">
        <v>3513</v>
      </c>
    </row>
    <row r="7245" spans="1:4" ht="30">
      <c r="A7245" s="5" t="str">
        <f>HYPERLINK("https://www.oit.va.gov/Services/TRM/ToolPage.aspx?tid=6734^","SigmaXL")</f>
        <v>SigmaXL</v>
      </c>
      <c r="B7245" s="4" t="s">
        <v>2949</v>
      </c>
      <c r="C7245" s="8" t="s">
        <v>5</v>
      </c>
      <c r="D7245" s="11" t="s">
        <v>2950</v>
      </c>
    </row>
    <row r="7246" spans="1:4" ht="30">
      <c r="A7246" s="5" t="str">
        <f>HYPERLINK("https://www.oit.va.gov/Services/TRM/ToolPage.aspx?tid=8431^","Statistical Process Control (SPC) XL (Excel)")</f>
        <v>Statistical Process Control (SPC) XL (Excel)</v>
      </c>
      <c r="B7246" s="4" t="s">
        <v>2992</v>
      </c>
      <c r="C7246" s="8" t="s">
        <v>5</v>
      </c>
      <c r="D7246" s="11" t="s">
        <v>2993</v>
      </c>
    </row>
    <row r="7247" spans="1:4" ht="30">
      <c r="A7247" s="5" t="str">
        <f>HYPERLINK("https://www.oit.va.gov/Services/TRM/ToolPage.aspx?tid=8706^","Quantum XL")</f>
        <v>Quantum XL</v>
      </c>
      <c r="B7247" s="4" t="s">
        <v>2992</v>
      </c>
      <c r="C7247" s="8" t="s">
        <v>5</v>
      </c>
      <c r="D7247" s="11" t="s">
        <v>4685</v>
      </c>
    </row>
    <row r="7248" spans="1:4" ht="30">
      <c r="A7248" s="5" t="str">
        <f>HYPERLINK("https://www.oit.va.gov/Services/TRM/ToolPage.aspx?tid=15638^","Signal for Desktop")</f>
        <v>Signal for Desktop</v>
      </c>
      <c r="B7248" s="4" t="s">
        <v>7142</v>
      </c>
      <c r="C7248" s="8" t="s">
        <v>5</v>
      </c>
      <c r="D7248" s="11" t="s">
        <v>7143</v>
      </c>
    </row>
    <row r="7249" spans="1:4" ht="30">
      <c r="A7249" s="5" t="str">
        <f>HYPERLINK("https://www.oit.va.gov/Services/TRM/ToolPage.aspx?tid=9259^","FreeSWITCH")</f>
        <v>FreeSWITCH</v>
      </c>
      <c r="B7249" s="4" t="s">
        <v>4155</v>
      </c>
      <c r="C7249" s="8" t="s">
        <v>5</v>
      </c>
      <c r="D7249" s="11" t="s">
        <v>458</v>
      </c>
    </row>
    <row r="7250" spans="1:4" ht="30">
      <c r="A7250" s="5" t="str">
        <f>HYPERLINK("https://www.oit.va.gov/Services/TRM/ToolPage.aspx?tid=5923^","Connexx")</f>
        <v>Connexx</v>
      </c>
      <c r="B7250" s="4" t="s">
        <v>1458</v>
      </c>
      <c r="C7250" s="8" t="s">
        <v>5</v>
      </c>
      <c r="D7250" s="11" t="s">
        <v>1459</v>
      </c>
    </row>
    <row r="7251" spans="1:4" ht="30">
      <c r="A7251" s="5" t="str">
        <f>HYPERLINK("https://www.oit.va.gov/Services/TRM/ToolPage.aspx?tid=14765^","Vinyl Express LXi Software")</f>
        <v>Vinyl Express LXi Software</v>
      </c>
      <c r="B7251" s="4" t="s">
        <v>7288</v>
      </c>
      <c r="C7251" s="8" t="s">
        <v>5</v>
      </c>
      <c r="D7251" s="11" t="s">
        <v>2039</v>
      </c>
    </row>
    <row r="7252" spans="1:4" ht="30">
      <c r="A7252" s="5" t="str">
        <f>HYPERLINK("https://www.oit.va.gov/Services/TRM/ToolPage.aspx?tid=14183^","Silhouette Studio")</f>
        <v>Silhouette Studio</v>
      </c>
      <c r="B7252" s="4" t="s">
        <v>8654</v>
      </c>
      <c r="C7252" s="8" t="s">
        <v>5</v>
      </c>
      <c r="D7252" s="11" t="s">
        <v>7290</v>
      </c>
    </row>
    <row r="7253" spans="1:4" ht="30">
      <c r="A7253" s="5" t="str">
        <f>HYPERLINK("https://www.oit.va.gov/Services/TRM/ToolPage.aspx?tid=14835^","Atellica Data Manager")</f>
        <v>Atellica Data Manager</v>
      </c>
      <c r="B7253" s="4" t="s">
        <v>579</v>
      </c>
      <c r="C7253" s="8" t="s">
        <v>5</v>
      </c>
      <c r="D7253" s="11" t="s">
        <v>580</v>
      </c>
    </row>
    <row r="7254" spans="1:4" ht="30">
      <c r="A7254" s="5" t="str">
        <f>HYPERLINK("https://www.oit.va.gov/Services/TRM/ToolPage.aspx?tid=16291^","Atellica Process Manager (Client)")</f>
        <v>Atellica Process Manager (Client)</v>
      </c>
      <c r="B7254" s="4" t="s">
        <v>579</v>
      </c>
      <c r="C7254" s="8" t="s">
        <v>5</v>
      </c>
      <c r="D7254" s="11" t="s">
        <v>3785</v>
      </c>
    </row>
    <row r="7255" spans="1:4" ht="30">
      <c r="A7255" s="5" t="str">
        <f>HYPERLINK("https://www.oit.va.gov/Services/TRM/ToolPage.aspx?tid=16325^","Simerics Multi-Purpose (MP)")</f>
        <v>Simerics Multi-Purpose (MP)</v>
      </c>
      <c r="B7255" s="4" t="s">
        <v>3520</v>
      </c>
      <c r="C7255" s="8" t="s">
        <v>5</v>
      </c>
      <c r="D7255" s="11" t="s">
        <v>3521</v>
      </c>
    </row>
    <row r="7256" spans="1:4" ht="30">
      <c r="A7256" s="5" t="str">
        <f>HYPERLINK("https://www.oit.va.gov/Services/TRM/ToolPage.aspx?tid=11308^","Simio")</f>
        <v>Simio</v>
      </c>
      <c r="B7256" s="4" t="s">
        <v>5509</v>
      </c>
      <c r="C7256" s="8" t="s">
        <v>5</v>
      </c>
      <c r="D7256" s="11" t="s">
        <v>5510</v>
      </c>
    </row>
    <row r="7257" spans="1:4" ht="30">
      <c r="A7257" s="5" t="str">
        <f>HYPERLINK("https://www.oit.va.gov/Services/TRM/ToolPage.aspx?tid=14447^","Simple Sticky Notes")</f>
        <v>Simple Sticky Notes</v>
      </c>
      <c r="B7257" s="4" t="s">
        <v>8657</v>
      </c>
      <c r="C7257" s="8" t="s">
        <v>5</v>
      </c>
      <c r="D7257" s="11" t="s">
        <v>8658</v>
      </c>
    </row>
    <row r="7258" spans="1:4" ht="30">
      <c r="A7258" s="5" t="str">
        <f>HYPERLINK("https://www.oit.va.gov/Services/TRM/ToolPage.aspx?tid=15489^","SimpleNeuro-linguistic Programming (SimpleNLP)")</f>
        <v>SimpleNeuro-linguistic Programming (SimpleNLP)</v>
      </c>
      <c r="B7258" s="4" t="s">
        <v>6069</v>
      </c>
      <c r="C7258" s="8" t="s">
        <v>5</v>
      </c>
      <c r="D7258" s="11" t="s">
        <v>5647</v>
      </c>
    </row>
    <row r="7259" spans="1:4" ht="30">
      <c r="A7259" s="5" t="str">
        <f>HYPERLINK("https://www.oit.va.gov/Services/TRM/ToolPage.aspx?tid=9001^","Simplex TrueSite Workstation (TSW)")</f>
        <v>Simplex TrueSite Workstation (TSW)</v>
      </c>
      <c r="B7259" s="4" t="s">
        <v>2954</v>
      </c>
      <c r="C7259" s="8" t="s">
        <v>5</v>
      </c>
      <c r="D7259" s="11" t="s">
        <v>2095</v>
      </c>
    </row>
    <row r="7260" spans="1:4" ht="30">
      <c r="A7260" s="5" t="str">
        <f>HYPERLINK("https://www.oit.va.gov/Services/TRM/ToolPage.aspx?tid=11441^","Simplify3D")</f>
        <v>Simplify3D</v>
      </c>
      <c r="B7260" s="4" t="s">
        <v>4790</v>
      </c>
      <c r="C7260" s="8" t="s">
        <v>5</v>
      </c>
      <c r="D7260" s="11" t="s">
        <v>4791</v>
      </c>
    </row>
    <row r="7261" spans="1:4" ht="30">
      <c r="A7261" s="5" t="str">
        <f>HYPERLINK("https://www.oit.va.gov/Services/TRM/ToolPage.aspx?tid=10391^","OpenSim")</f>
        <v>OpenSim</v>
      </c>
      <c r="B7261" s="4" t="s">
        <v>5402</v>
      </c>
      <c r="C7261" s="8" t="s">
        <v>5</v>
      </c>
      <c r="D7261" s="11" t="s">
        <v>5403</v>
      </c>
    </row>
    <row r="7262" spans="1:4" ht="30">
      <c r="A7262" s="5" t="str">
        <f>HYPERLINK("https://www.oit.va.gov/Services/TRM/ToolPage.aspx?tid=14845^","SimX")</f>
        <v>SimX</v>
      </c>
      <c r="B7262" s="4" t="s">
        <v>6070</v>
      </c>
      <c r="C7262" s="8" t="s">
        <v>5</v>
      </c>
      <c r="D7262" s="11" t="s">
        <v>6071</v>
      </c>
    </row>
    <row r="7263" spans="1:4" ht="30">
      <c r="A7263" s="5" t="str">
        <f>HYPERLINK("https://www.oit.va.gov/Services/TRM/ToolPage.aspx?tid=11274^","Gulp-Mocha")</f>
        <v>Gulp-Mocha</v>
      </c>
      <c r="B7263" s="4" t="s">
        <v>8006</v>
      </c>
      <c r="C7263" s="8" t="s">
        <v>5</v>
      </c>
      <c r="D7263" s="11" t="s">
        <v>5811</v>
      </c>
    </row>
    <row r="7264" spans="1:4" ht="30">
      <c r="A7264" s="5" t="str">
        <f>HYPERLINK("https://www.oit.va.gov/Services/TRM/ToolPage.aspx?tid=15751^","SingleStore Database (DB)")</f>
        <v>SingleStore Database (DB)</v>
      </c>
      <c r="B7264" s="4" t="s">
        <v>8661</v>
      </c>
      <c r="C7264" s="8" t="s">
        <v>5</v>
      </c>
      <c r="D7264" s="11" t="s">
        <v>6794</v>
      </c>
    </row>
    <row r="7265" spans="1:4" ht="30">
      <c r="A7265" s="5" t="str">
        <f>HYPERLINK("https://www.oit.va.gov/Services/TRM/ToolPage.aspx?tid=7589^","Singlewire InformaCast Advanced Notification")</f>
        <v>Singlewire InformaCast Advanced Notification</v>
      </c>
      <c r="B7265" s="4" t="s">
        <v>4792</v>
      </c>
      <c r="C7265" s="8" t="s">
        <v>5</v>
      </c>
      <c r="D7265" s="11" t="s">
        <v>4793</v>
      </c>
    </row>
    <row r="7266" spans="1:4" ht="30">
      <c r="A7266" s="5" t="str">
        <f>HYPERLINK("https://www.oit.va.gov/Services/TRM/ToolPage.aspx?tid=6134^","SIDEXIS XG")</f>
        <v>SIDEXIS XG</v>
      </c>
      <c r="B7266" s="4" t="s">
        <v>4787</v>
      </c>
      <c r="C7266" s="8" t="s">
        <v>5</v>
      </c>
      <c r="D7266" s="11" t="s">
        <v>3582</v>
      </c>
    </row>
    <row r="7267" spans="1:4" ht="30">
      <c r="A7267" s="5" t="str">
        <f>HYPERLINK("https://www.oit.va.gov/Services/TRM/ToolPage.aspx?tid=7690^","Symphony Integrated Library System (ILS)")</f>
        <v>Symphony Integrated Library System (ILS)</v>
      </c>
      <c r="B7267" s="4" t="s">
        <v>5542</v>
      </c>
      <c r="C7267" s="8" t="s">
        <v>5</v>
      </c>
      <c r="D7267" s="11" t="s">
        <v>5527</v>
      </c>
    </row>
    <row r="7268" spans="1:4" ht="30">
      <c r="A7268" s="5" t="str">
        <f>HYPERLINK("https://www.oit.va.gov/Services/TRM/ToolPage.aspx?tid=11503^","Sisense")</f>
        <v>Sisense</v>
      </c>
      <c r="B7268" s="4" t="s">
        <v>463</v>
      </c>
      <c r="C7268" s="8" t="s">
        <v>5</v>
      </c>
      <c r="D7268" s="11" t="s">
        <v>464</v>
      </c>
    </row>
    <row r="7269" spans="1:4" ht="30">
      <c r="A7269" s="5" t="str">
        <f>HYPERLINK("https://www.oit.va.gov/Services/TRM/ToolPage.aspx?tid=16383^","Accessibility Checker Extension")</f>
        <v>Accessibility Checker Extension</v>
      </c>
      <c r="B7269" s="4" t="s">
        <v>3693</v>
      </c>
      <c r="C7269" s="8" t="s">
        <v>5</v>
      </c>
      <c r="D7269" s="11" t="s">
        <v>1243</v>
      </c>
    </row>
    <row r="7270" spans="1:4" ht="30">
      <c r="A7270" s="5" t="str">
        <f>HYPERLINK("https://www.oit.va.gov/Services/TRM/ToolPage.aspx?tid=16387^","SiteImprove Browser Extension (Free Tool)")</f>
        <v>SiteImprove Browser Extension (Free Tool)</v>
      </c>
      <c r="B7270" s="4" t="s">
        <v>3693</v>
      </c>
      <c r="C7270" s="8" t="s">
        <v>5</v>
      </c>
      <c r="D7270" s="11" t="s">
        <v>169</v>
      </c>
    </row>
    <row r="7271" spans="1:4" ht="30">
      <c r="A7271" s="5" t="str">
        <f>HYPERLINK("https://www.oit.va.gov/Services/TRM/ToolPage.aspx?tid=14142^","Non Parametric (NPC) Tools")</f>
        <v>Non Parametric (NPC) Tools</v>
      </c>
      <c r="B7271" s="4" t="s">
        <v>3415</v>
      </c>
      <c r="C7271" s="8" t="s">
        <v>5</v>
      </c>
      <c r="D7271" s="11" t="s">
        <v>1189</v>
      </c>
    </row>
    <row r="7272" spans="1:4" ht="30">
      <c r="A7272" s="5" t="str">
        <f>HYPERLINK("https://www.oit.va.gov/Services/TRM/ToolPage.aspx?tid=13401^","Lightshot")</f>
        <v>Lightshot</v>
      </c>
      <c r="B7272" s="4" t="s">
        <v>8175</v>
      </c>
      <c r="C7272" s="8" t="s">
        <v>5</v>
      </c>
      <c r="D7272" s="11" t="s">
        <v>8176</v>
      </c>
    </row>
    <row r="7273" spans="1:4" ht="30">
      <c r="A7273" s="5" t="str">
        <f>HYPERLINK("https://www.oit.va.gov/Services/TRM/ToolPage.aspx?tid=6985^","Occupational Access System (OASYS)")</f>
        <v>Occupational Access System (OASYS)</v>
      </c>
      <c r="B7273" s="4" t="s">
        <v>5388</v>
      </c>
      <c r="C7273" s="8" t="s">
        <v>5</v>
      </c>
      <c r="D7273" s="11" t="s">
        <v>227</v>
      </c>
    </row>
    <row r="7274" spans="1:4" ht="30">
      <c r="A7274" s="5" t="str">
        <f>HYPERLINK("https://www.oit.va.gov/Services/TRM/ToolPage.aspx?tid=8300^","Power Tools for Windows")</f>
        <v>Power Tools for Windows</v>
      </c>
      <c r="B7274" s="4" t="s">
        <v>1849</v>
      </c>
      <c r="C7274" s="8" t="s">
        <v>5</v>
      </c>
      <c r="D7274" s="11" t="s">
        <v>1850</v>
      </c>
    </row>
    <row r="7275" spans="1:4" ht="30">
      <c r="A7275" s="5" t="str">
        <f>HYPERLINK("https://www.oit.va.gov/Services/TRM/ToolPage.aspx?tid=16755^","Noise")</f>
        <v>Noise</v>
      </c>
      <c r="B7275" s="4" t="s">
        <v>5382</v>
      </c>
      <c r="C7275" s="8" t="s">
        <v>5</v>
      </c>
      <c r="D7275" s="11" t="s">
        <v>1057</v>
      </c>
    </row>
    <row r="7276" spans="1:4" ht="30">
      <c r="A7276" s="5" t="str">
        <f>HYPERLINK("https://www.oit.va.gov/Services/TRM/ToolPage.aspx?tid=8658^","Skyhigh Secure Web Gateway")</f>
        <v>Skyhigh Secure Web Gateway</v>
      </c>
      <c r="B7276" s="4" t="s">
        <v>2959</v>
      </c>
      <c r="C7276" s="8" t="s">
        <v>5</v>
      </c>
      <c r="D7276" s="11" t="s">
        <v>1966</v>
      </c>
    </row>
    <row r="7277" spans="1:4" ht="30">
      <c r="A7277" s="5" t="str">
        <f>HYPERLINK("https://www.oit.va.gov/Services/TRM/ToolPage.aspx?tid=13041^","SkyFloatingLabelTextField")</f>
        <v>SkyFloatingLabelTextField</v>
      </c>
      <c r="B7277" s="4" t="s">
        <v>8667</v>
      </c>
      <c r="C7277" s="8" t="s">
        <v>5</v>
      </c>
      <c r="D7277" s="11" t="s">
        <v>7008</v>
      </c>
    </row>
    <row r="7278" spans="1:4" ht="30">
      <c r="A7278" s="5" t="str">
        <f>HYPERLINK("https://www.oit.va.gov/Services/TRM/ToolPage.aspx?tid=11623^","Slack Desktop Client")</f>
        <v>Slack Desktop Client</v>
      </c>
      <c r="B7278" s="4" t="s">
        <v>4799</v>
      </c>
      <c r="C7278" s="8" t="s">
        <v>5</v>
      </c>
      <c r="D7278" s="11" t="s">
        <v>4800</v>
      </c>
    </row>
    <row r="7279" spans="1:4" ht="30">
      <c r="A7279" s="5" t="str">
        <f>HYPERLINK("https://www.oit.va.gov/Services/TRM/ToolPage.aspx?tid=6337^","Text Ticker")</f>
        <v>Text Ticker</v>
      </c>
      <c r="B7279" s="4" t="s">
        <v>7227</v>
      </c>
      <c r="C7279" s="8" t="s">
        <v>5</v>
      </c>
      <c r="D7279" s="11" t="s">
        <v>457</v>
      </c>
    </row>
    <row r="7280" spans="1:4" ht="30">
      <c r="A7280" s="5" t="str">
        <f>HYPERLINK("https://www.oit.va.gov/Services/TRM/ToolPage.aspx?tid=15899^","Slate")</f>
        <v>Slate</v>
      </c>
      <c r="B7280" s="4" t="s">
        <v>4801</v>
      </c>
      <c r="C7280" s="8" t="s">
        <v>5</v>
      </c>
      <c r="D7280" s="11" t="s">
        <v>4197</v>
      </c>
    </row>
    <row r="7281" spans="1:4" ht="30">
      <c r="A7281" s="5" t="str">
        <f>HYPERLINK("https://www.oit.va.gov/Services/TRM/ToolPage.aspx?tid=13959^","SleepMultiMedia")</f>
        <v>SleepMultiMedia</v>
      </c>
      <c r="B7281" s="4" t="s">
        <v>3529</v>
      </c>
      <c r="C7281" s="8" t="s">
        <v>5</v>
      </c>
      <c r="D7281" s="11" t="s">
        <v>3530</v>
      </c>
    </row>
    <row r="7282" spans="1:4" ht="30">
      <c r="A7282" s="5" t="str">
        <f>HYPERLINK("https://www.oit.va.gov/Services/TRM/ToolPage.aspx?tid=15768^","Slido for PowerPoint")</f>
        <v>Slido for PowerPoint</v>
      </c>
      <c r="B7282" s="4" t="s">
        <v>4804</v>
      </c>
      <c r="C7282" s="8" t="s">
        <v>5</v>
      </c>
      <c r="D7282" s="11" t="s">
        <v>1730</v>
      </c>
    </row>
    <row r="7283" spans="1:4" ht="30">
      <c r="A7283" s="5" t="str">
        <f>HYPERLINK("https://www.oit.va.gov/Services/TRM/ToolPage.aspx?tid=16392^","Slik Subversion")</f>
        <v>Slik Subversion</v>
      </c>
      <c r="B7283" s="4" t="s">
        <v>8668</v>
      </c>
      <c r="C7283" s="8" t="s">
        <v>5</v>
      </c>
      <c r="D7283" s="11" t="s">
        <v>8669</v>
      </c>
    </row>
    <row r="7284" spans="1:4" ht="30">
      <c r="A7284" s="5" t="str">
        <f>HYPERLINK("https://www.oit.va.gov/Services/TRM/ToolPage.aspx?tid=10978^","slimRAW")</f>
        <v>slimRAW</v>
      </c>
      <c r="B7284" s="4" t="s">
        <v>8672</v>
      </c>
      <c r="C7284" s="8" t="s">
        <v>5</v>
      </c>
      <c r="D7284" s="11" t="s">
        <v>1215</v>
      </c>
    </row>
    <row r="7285" spans="1:4" ht="30">
      <c r="A7285" s="5" t="str">
        <f>HYPERLINK("https://www.oit.va.gov/Services/TRM/ToolPage.aspx?tid=14480^","SlimCleaner")</f>
        <v>SlimCleaner</v>
      </c>
      <c r="B7285" s="4" t="s">
        <v>8670</v>
      </c>
      <c r="C7285" s="8" t="s">
        <v>5</v>
      </c>
      <c r="D7285" s="11" t="s">
        <v>3566</v>
      </c>
    </row>
    <row r="7286" spans="1:4" ht="30">
      <c r="A7286" s="5" t="str">
        <f>HYPERLINK("https://www.oit.va.gov/Services/TRM/ToolPage.aspx?tid=12908^","Slimware Driveupdate")</f>
        <v>Slimware Driveupdate</v>
      </c>
      <c r="B7286" s="4" t="s">
        <v>8670</v>
      </c>
      <c r="C7286" s="8" t="s">
        <v>5</v>
      </c>
      <c r="D7286" s="11" t="s">
        <v>8673</v>
      </c>
    </row>
    <row r="7287" spans="1:4" ht="30">
      <c r="A7287" s="5" t="str">
        <f>HYPERLINK("https://www.oit.va.gov/Services/TRM/ToolPage.aspx?tid=11262^","SuperAgent")</f>
        <v>SuperAgent</v>
      </c>
      <c r="B7287" s="4" t="s">
        <v>5535</v>
      </c>
      <c r="C7287" s="8" t="s">
        <v>5</v>
      </c>
      <c r="D7287" s="11" t="s">
        <v>4781</v>
      </c>
    </row>
    <row r="7288" spans="1:4" ht="30">
      <c r="A7288" s="5" t="str">
        <f>HYPERLINK("https://www.oit.va.gov/Services/TRM/ToolPage.aspx?tid=8967^","Debug")</f>
        <v>Debug</v>
      </c>
      <c r="B7288" s="4" t="s">
        <v>5535</v>
      </c>
      <c r="C7288" s="8" t="s">
        <v>5</v>
      </c>
      <c r="D7288" s="11" t="s">
        <v>572</v>
      </c>
    </row>
    <row r="7289" spans="1:4" ht="30">
      <c r="A7289" s="5" t="str">
        <f>HYPERLINK("https://www.oit.va.gov/Services/TRM/ToolPage.aspx?tid=7206^","SmartCOMM")</f>
        <v>SmartCOMM</v>
      </c>
      <c r="B7289" s="4" t="s">
        <v>1933</v>
      </c>
      <c r="C7289" s="8" t="s">
        <v>5</v>
      </c>
      <c r="D7289" s="11" t="s">
        <v>864</v>
      </c>
    </row>
    <row r="7290" spans="1:4" ht="30">
      <c r="A7290" s="5" t="str">
        <f>HYPERLINK("https://www.oit.va.gov/Services/TRM/ToolPage.aspx?tid=6547^","Employee Training Manager")</f>
        <v>Employee Training Manager</v>
      </c>
      <c r="B7290" s="4" t="s">
        <v>6573</v>
      </c>
      <c r="C7290" s="8" t="s">
        <v>5</v>
      </c>
      <c r="D7290" s="11" t="s">
        <v>6227</v>
      </c>
    </row>
    <row r="7291" spans="1:4" ht="30">
      <c r="A7291" s="5" t="str">
        <f>HYPERLINK("https://www.oit.va.gov/Services/TRM/ToolPage.aspx?tid=7239^","SMART Meeting Pro")</f>
        <v>SMART Meeting Pro</v>
      </c>
      <c r="B7291" s="4" t="s">
        <v>1931</v>
      </c>
      <c r="C7291" s="8" t="s">
        <v>5</v>
      </c>
      <c r="D7291" s="11" t="s">
        <v>1932</v>
      </c>
    </row>
    <row r="7292" spans="1:4" ht="30">
      <c r="A7292" s="5" t="str">
        <f>HYPERLINK("https://www.oit.va.gov/Services/TRM/ToolPage.aspx?tid=6137^","SMART Notebook")</f>
        <v>SMART Notebook</v>
      </c>
      <c r="B7292" s="4" t="s">
        <v>1931</v>
      </c>
      <c r="C7292" s="8" t="s">
        <v>5</v>
      </c>
      <c r="D7292" s="11" t="s">
        <v>813</v>
      </c>
    </row>
    <row r="7293" spans="1:4" ht="30">
      <c r="A7293" s="5" t="str">
        <f>HYPERLINK("https://www.oit.va.gov/Services/TRM/ToolPage.aspx?tid=14342^","SMART Ink")</f>
        <v>SMART Ink</v>
      </c>
      <c r="B7293" s="4" t="s">
        <v>1931</v>
      </c>
      <c r="C7293" s="8" t="s">
        <v>5</v>
      </c>
      <c r="D7293" s="11" t="s">
        <v>1890</v>
      </c>
    </row>
    <row r="7294" spans="1:4" ht="30">
      <c r="A7294" s="5" t="str">
        <f>HYPERLINK("https://www.oit.va.gov/Services/TRM/ToolPage.aspx?tid=12942^","Smart Response")</f>
        <v>Smart Response</v>
      </c>
      <c r="B7294" s="4" t="s">
        <v>1931</v>
      </c>
      <c r="C7294" s="8" t="s">
        <v>5</v>
      </c>
      <c r="D7294" s="11" t="s">
        <v>6891</v>
      </c>
    </row>
    <row r="7295" spans="1:4" ht="30">
      <c r="A7295" s="5" t="str">
        <f>HYPERLINK("https://www.oit.va.gov/Services/TRM/ToolPage.aspx?tid=7292^","TestComplete")</f>
        <v>TestComplete</v>
      </c>
      <c r="B7295" s="4" t="s">
        <v>873</v>
      </c>
      <c r="C7295" s="8" t="s">
        <v>5</v>
      </c>
      <c r="D7295" s="11" t="s">
        <v>874</v>
      </c>
    </row>
    <row r="7296" spans="1:4" ht="30">
      <c r="A7296" s="5" t="str">
        <f>HYPERLINK("https://www.oit.va.gov/Services/TRM/ToolPage.aspx?tid=6710^","ReadyAPI")</f>
        <v>ReadyAPI</v>
      </c>
      <c r="B7296" s="4" t="s">
        <v>873</v>
      </c>
      <c r="C7296" s="8" t="s">
        <v>5</v>
      </c>
      <c r="D7296" s="11" t="s">
        <v>1470</v>
      </c>
    </row>
    <row r="7297" spans="1:4" ht="30">
      <c r="A7297" s="5" t="str">
        <f>HYPERLINK("https://www.oit.va.gov/Services/TRM/ToolPage.aspx?tid=6252^","SoapUI")</f>
        <v>SoapUI</v>
      </c>
      <c r="B7297" s="4" t="s">
        <v>873</v>
      </c>
      <c r="C7297" s="8" t="s">
        <v>5</v>
      </c>
      <c r="D7297" s="11" t="s">
        <v>864</v>
      </c>
    </row>
    <row r="7298" spans="1:4" ht="30">
      <c r="A7298" s="5" t="str">
        <f>HYPERLINK("https://www.oit.va.gov/Services/TRM/ToolPage.aspx?tid=9207^","QAComplete (QAC)")</f>
        <v>QAComplete (QAC)</v>
      </c>
      <c r="B7298" s="4" t="s">
        <v>873</v>
      </c>
      <c r="C7298" s="8" t="s">
        <v>5</v>
      </c>
      <c r="D7298" s="11" t="s">
        <v>4679</v>
      </c>
    </row>
    <row r="7299" spans="1:4" ht="30">
      <c r="A7299" s="5" t="str">
        <f>HYPERLINK("https://www.oit.va.gov/Services/TRM/ToolPage.aspx?tid=15912^","Smartbear Testcomplete Jira Extension")</f>
        <v>Smartbear Testcomplete Jira Extension</v>
      </c>
      <c r="B7299" s="4" t="s">
        <v>873</v>
      </c>
      <c r="C7299" s="8" t="s">
        <v>5</v>
      </c>
      <c r="D7299" s="11" t="s">
        <v>2906</v>
      </c>
    </row>
    <row r="7300" spans="1:4" ht="30">
      <c r="A7300" s="5" t="str">
        <f>HYPERLINK("https://www.oit.va.gov/Services/TRM/ToolPage.aspx?tid=16279^","SmartBear VirtServer")</f>
        <v>SmartBear VirtServer</v>
      </c>
      <c r="B7300" s="4" t="s">
        <v>873</v>
      </c>
      <c r="C7300" s="8" t="s">
        <v>5</v>
      </c>
      <c r="D7300" s="11" t="s">
        <v>3528</v>
      </c>
    </row>
    <row r="7301" spans="1:4" ht="30">
      <c r="A7301" s="5" t="str">
        <f>HYPERLINK("https://www.oit.va.gov/Services/TRM/ToolPage.aspx?tid=15749^","Swagger Editor")</f>
        <v>Swagger Editor</v>
      </c>
      <c r="B7301" s="4" t="s">
        <v>873</v>
      </c>
      <c r="C7301" s="8" t="s">
        <v>5</v>
      </c>
      <c r="D7301" s="11" t="s">
        <v>4845</v>
      </c>
    </row>
    <row r="7302" spans="1:4" ht="30">
      <c r="A7302" s="5" t="str">
        <f>HYPERLINK("https://www.oit.va.gov/Services/TRM/ToolPage.aspx?tid=8119^","LoadComplete")</f>
        <v>LoadComplete</v>
      </c>
      <c r="B7302" s="4" t="s">
        <v>873</v>
      </c>
      <c r="C7302" s="8" t="s">
        <v>5</v>
      </c>
      <c r="D7302" s="11" t="s">
        <v>3390</v>
      </c>
    </row>
    <row r="7303" spans="1:4" ht="30">
      <c r="A7303" s="5" t="str">
        <f>HYPERLINK("https://www.oit.va.gov/Services/TRM/ToolPage.aspx?tid=13688^","Dwell Clicker 2")</f>
        <v>Dwell Clicker 2</v>
      </c>
      <c r="B7303" s="4" t="s">
        <v>4050</v>
      </c>
      <c r="C7303" s="8" t="s">
        <v>5</v>
      </c>
      <c r="D7303" s="11" t="s">
        <v>4051</v>
      </c>
    </row>
    <row r="7304" spans="1:4" ht="30">
      <c r="A7304" s="5" t="str">
        <f>HYPERLINK("https://www.oit.va.gov/Services/TRM/ToolPage.aspx?tid=11430^","Grid 3")</f>
        <v>Grid 3</v>
      </c>
      <c r="B7304" s="4" t="s">
        <v>4050</v>
      </c>
      <c r="C7304" s="8" t="s">
        <v>5</v>
      </c>
      <c r="D7304" s="11" t="s">
        <v>892</v>
      </c>
    </row>
    <row r="7305" spans="1:4" ht="30">
      <c r="A7305" s="5" t="str">
        <f>HYPERLINK("https://www.oit.va.gov/Services/TRM/ToolPage.aspx?tid=13950^","SmartBuilder")</f>
        <v>SmartBuilder</v>
      </c>
      <c r="B7305" s="4" t="s">
        <v>6074</v>
      </c>
      <c r="C7305" s="8" t="s">
        <v>5</v>
      </c>
      <c r="D7305" s="11" t="s">
        <v>113</v>
      </c>
    </row>
    <row r="7306" spans="1:4" ht="30">
      <c r="A7306" s="5" t="str">
        <f>HYPERLINK("https://www.oit.va.gov/Services/TRM/ToolPage.aspx?tid=6138^","SmartDraw")</f>
        <v>SmartDraw</v>
      </c>
      <c r="B7306" s="4" t="s">
        <v>7151</v>
      </c>
      <c r="C7306" s="8" t="s">
        <v>5</v>
      </c>
      <c r="D7306" s="11" t="s">
        <v>2820</v>
      </c>
    </row>
    <row r="7307" spans="1:4" ht="30">
      <c r="A7307" s="5" t="str">
        <f>HYPERLINK("https://www.oit.va.gov/Services/TRM/ToolPage.aspx?tid=10029^","SmartPLS")</f>
        <v>SmartPLS</v>
      </c>
      <c r="B7307" s="4" t="s">
        <v>2964</v>
      </c>
      <c r="C7307" s="8" t="s">
        <v>5</v>
      </c>
      <c r="D7307" s="11" t="s">
        <v>2965</v>
      </c>
    </row>
    <row r="7308" spans="1:4" ht="30">
      <c r="A7308" s="5" t="str">
        <f>HYPERLINK("https://www.oit.va.gov/Services/TRM/ToolPage.aspx?tid=15358^","SmartSync Pro")</f>
        <v>SmartSync Pro</v>
      </c>
      <c r="B7308" s="4" t="s">
        <v>4807</v>
      </c>
      <c r="C7308" s="8" t="s">
        <v>5</v>
      </c>
      <c r="D7308" s="11" t="s">
        <v>4808</v>
      </c>
    </row>
    <row r="7309" spans="1:4" ht="30">
      <c r="A7309" s="5" t="str">
        <f>HYPERLINK("https://www.oit.va.gov/Services/TRM/ToolPage.aspx?tid=7996^","SMEAD ColorBar Labeling System")</f>
        <v>SMEAD ColorBar Labeling System</v>
      </c>
      <c r="B7309" s="4" t="s">
        <v>3536</v>
      </c>
      <c r="C7309" s="8" t="s">
        <v>5</v>
      </c>
      <c r="D7309" s="11" t="s">
        <v>1920</v>
      </c>
    </row>
    <row r="7310" spans="1:4" ht="30">
      <c r="A7310" s="5" t="str">
        <f>HYPERLINK("https://www.oit.va.gov/Services/TRM/ToolPage.aspx?tid=7656^","SMEAD Smartstrip Labeling Software")</f>
        <v>SMEAD Smartstrip Labeling Software</v>
      </c>
      <c r="B7310" s="4" t="s">
        <v>3536</v>
      </c>
      <c r="C7310" s="8" t="s">
        <v>5</v>
      </c>
      <c r="D7310" s="11" t="s">
        <v>8680</v>
      </c>
    </row>
    <row r="7311" spans="1:4" ht="30">
      <c r="A7311" s="5" t="str">
        <f>HYPERLINK("https://www.oit.va.gov/Services/TRM/ToolPage.aspx?tid=13859^","SMEAD Viewables Color Labeling System")</f>
        <v>SMEAD Viewables Color Labeling System</v>
      </c>
      <c r="B7311" s="4" t="s">
        <v>3536</v>
      </c>
      <c r="C7311" s="8" t="s">
        <v>5</v>
      </c>
      <c r="D7311" s="11" t="s">
        <v>2317</v>
      </c>
    </row>
    <row r="7312" spans="1:4" ht="30">
      <c r="A7312" s="5" t="str">
        <f>HYPERLINK("https://www.oit.va.gov/Services/TRM/ToolPage.aspx?tid=16471^","Smile Health Data Fabric (Smile HDF)")</f>
        <v>Smile Health Data Fabric (Smile HDF)</v>
      </c>
      <c r="B7312" s="4" t="s">
        <v>6075</v>
      </c>
      <c r="C7312" s="8" t="s">
        <v>5</v>
      </c>
      <c r="D7312" s="11" t="s">
        <v>6076</v>
      </c>
    </row>
    <row r="7313" spans="1:4" ht="30">
      <c r="A7313" s="5" t="str">
        <f>HYPERLINK("https://www.oit.va.gov/Services/TRM/ToolPage.aspx?tid=15255^","TextExpander")</f>
        <v>TextExpander</v>
      </c>
      <c r="B7313" s="4" t="s">
        <v>4901</v>
      </c>
      <c r="C7313" s="8" t="s">
        <v>5</v>
      </c>
      <c r="D7313" s="11" t="s">
        <v>4902</v>
      </c>
    </row>
    <row r="7314" spans="1:4" ht="30">
      <c r="A7314" s="5" t="str">
        <f>HYPERLINK("https://www.oit.va.gov/Services/TRM/ToolPage.aspx?tid=11101^","Leaf Patient Mobility Monitoring System")</f>
        <v>Leaf Patient Mobility Monitoring System</v>
      </c>
      <c r="B7314" s="4" t="s">
        <v>4353</v>
      </c>
      <c r="C7314" s="8" t="s">
        <v>5</v>
      </c>
      <c r="D7314" s="11" t="s">
        <v>4121</v>
      </c>
    </row>
    <row r="7315" spans="1:4" ht="30">
      <c r="A7315" s="5" t="str">
        <f>HYPERLINK("https://www.oit.va.gov/Services/TRM/ToolPage.aspx?tid=9345^","Stuffit Expander")</f>
        <v>Stuffit Expander</v>
      </c>
      <c r="B7315" s="4" t="s">
        <v>5531</v>
      </c>
      <c r="C7315" s="8" t="s">
        <v>5</v>
      </c>
      <c r="D7315" s="11" t="s">
        <v>5532</v>
      </c>
    </row>
    <row r="7316" spans="1:4" ht="30">
      <c r="A7316" s="5" t="str">
        <f>HYPERLINK("https://www.oit.va.gov/Services/TRM/ToolPage.aspx?tid=8347^","PharmGuard Administrator Medication Safety Software (MSS)")</f>
        <v>PharmGuard Administrator Medication Safety Software (MSS)</v>
      </c>
      <c r="B7316" s="4" t="s">
        <v>4596</v>
      </c>
      <c r="C7316" s="8" t="s">
        <v>5</v>
      </c>
      <c r="D7316" s="11" t="s">
        <v>4597</v>
      </c>
    </row>
    <row r="7317" spans="1:4" ht="30">
      <c r="A7317" s="5" t="str">
        <f>HYPERLINK("https://www.oit.va.gov/Services/TRM/ToolPage.aspx?tid=15074^","Pharmguard Toolbox 2")</f>
        <v>Pharmguard Toolbox 2</v>
      </c>
      <c r="B7317" s="4" t="s">
        <v>4596</v>
      </c>
      <c r="C7317" s="8" t="s">
        <v>5</v>
      </c>
      <c r="D7317" s="11" t="s">
        <v>259</v>
      </c>
    </row>
    <row r="7318" spans="1:4" ht="30">
      <c r="A7318" s="5" t="str">
        <f>HYPERLINK("https://www.oit.va.gov/Services/TRM/ToolPage.aspx?tid=14547^","Snap Schedule 365")</f>
        <v>Snap Schedule 365</v>
      </c>
      <c r="B7318" s="4" t="s">
        <v>8681</v>
      </c>
      <c r="C7318" s="8" t="s">
        <v>5</v>
      </c>
      <c r="D7318" s="11" t="s">
        <v>5481</v>
      </c>
    </row>
    <row r="7319" spans="1:4" ht="30">
      <c r="A7319" s="5" t="str">
        <f>HYPERLINK("https://www.oit.va.gov/Services/TRM/ToolPage.aspx?tid=8505^","SNAP XMP Desktop")</f>
        <v>SNAP XMP Desktop</v>
      </c>
      <c r="B7319" s="4" t="s">
        <v>1938</v>
      </c>
      <c r="C7319" s="8" t="s">
        <v>5</v>
      </c>
      <c r="D7319" s="11" t="s">
        <v>1939</v>
      </c>
    </row>
    <row r="7320" spans="1:4" ht="30">
      <c r="A7320" s="5" t="str">
        <f>HYPERLINK("https://www.oit.va.gov/Services/TRM/ToolPage.aspx?tid=7597^","SnapComms")</f>
        <v>SnapComms</v>
      </c>
      <c r="B7320" s="4" t="s">
        <v>858</v>
      </c>
      <c r="C7320" s="8" t="s">
        <v>5</v>
      </c>
      <c r="D7320" s="11" t="s">
        <v>859</v>
      </c>
    </row>
    <row r="7321" spans="1:4" ht="30">
      <c r="A7321" s="5" t="str">
        <f>HYPERLINK("https://www.oit.va.gov/Services/TRM/ToolPage.aspx?tid=7521^","SnapShot")</f>
        <v>SnapShot</v>
      </c>
      <c r="B7321" s="4" t="s">
        <v>3537</v>
      </c>
      <c r="C7321" s="8" t="s">
        <v>5</v>
      </c>
      <c r="D7321" s="11" t="s">
        <v>3538</v>
      </c>
    </row>
    <row r="7322" spans="1:4" ht="30">
      <c r="A7322" s="5" t="str">
        <f>HYPERLINK("https://www.oit.va.gov/Services/TRM/StandardPage.aspx?tid=5210^","Systematized Nomenclature of Medicine-Clinical Terms (SNOMED-CT)")</f>
        <v>Systematized Nomenclature of Medicine-Clinical Terms (SNOMED-CT)</v>
      </c>
      <c r="B7322" s="4" t="s">
        <v>8777</v>
      </c>
      <c r="C7322" s="8" t="s">
        <v>5</v>
      </c>
      <c r="D7322" s="11" t="s">
        <v>8778</v>
      </c>
    </row>
    <row r="7323" spans="1:4" ht="30">
      <c r="A7323" s="5" t="str">
        <f>HYPERLINK("https://www.oit.va.gov/Services/TRM/ToolPage.aspx?tid=10330^","Snowball")</f>
        <v>Snowball</v>
      </c>
      <c r="B7323" s="4" t="s">
        <v>8683</v>
      </c>
      <c r="C7323" s="8" t="s">
        <v>5</v>
      </c>
      <c r="D7323" s="11" t="s">
        <v>2978</v>
      </c>
    </row>
    <row r="7324" spans="1:4" ht="30">
      <c r="A7324" s="5" t="str">
        <f>HYPERLINK("https://www.oit.va.gov/Services/TRM/ToolPage.aspx?tid=14002^","NodeXL")</f>
        <v>NodeXL</v>
      </c>
      <c r="B7324" s="4" t="s">
        <v>6945</v>
      </c>
      <c r="C7324" s="8" t="s">
        <v>5</v>
      </c>
      <c r="D7324" s="11" t="s">
        <v>3414</v>
      </c>
    </row>
    <row r="7325" spans="1:4" ht="30">
      <c r="A7325" s="5" t="str">
        <f>HYPERLINK("https://www.oit.va.gov/Services/TRM/ToolPage.aspx?tid=8100^","MedView Continuing Education (CE)")</f>
        <v>MedView Continuing Education (CE)</v>
      </c>
      <c r="B7325" s="4" t="s">
        <v>5332</v>
      </c>
      <c r="C7325" s="8" t="s">
        <v>5</v>
      </c>
      <c r="D7325" s="11" t="s">
        <v>5333</v>
      </c>
    </row>
    <row r="7326" spans="1:4" ht="30">
      <c r="A7326" s="5" t="str">
        <f>HYPERLINK("https://www.oit.va.gov/Services/TRM/ToolPage.aspx?tid=8931^","Engine.IO")</f>
        <v>Engine.IO</v>
      </c>
      <c r="B7326" s="4" t="s">
        <v>396</v>
      </c>
      <c r="C7326" s="8" t="s">
        <v>5</v>
      </c>
      <c r="D7326" s="11" t="s">
        <v>397</v>
      </c>
    </row>
    <row r="7327" spans="1:4" ht="30">
      <c r="A7327" s="5" t="str">
        <f>HYPERLINK("https://www.oit.va.gov/Services/TRM/ToolPage.aspx?tid=13971^","File Type Advisor")</f>
        <v>File Type Advisor</v>
      </c>
      <c r="B7327" s="4" t="s">
        <v>7921</v>
      </c>
      <c r="C7327" s="8" t="s">
        <v>5</v>
      </c>
      <c r="D7327" s="11" t="s">
        <v>7221</v>
      </c>
    </row>
    <row r="7328" spans="1:4" ht="30">
      <c r="A7328" s="5" t="str">
        <f>HYPERLINK("https://www.oit.va.gov/Services/TRM/ToolPage.aspx?tid=15100^","Microsoft Outlook Mail Merge Toolkit")</f>
        <v>Microsoft Outlook Mail Merge Toolkit</v>
      </c>
      <c r="B7328" s="4" t="s">
        <v>6861</v>
      </c>
      <c r="C7328" s="8" t="s">
        <v>5</v>
      </c>
      <c r="D7328" s="11" t="s">
        <v>1365</v>
      </c>
    </row>
    <row r="7329" spans="1:4" ht="30">
      <c r="A7329" s="5" t="str">
        <f>HYPERLINK("https://www.oit.va.gov/Services/TRM/ToolPage.aspx?tid=15373^","Softeon Supply Chain Solution Suite")</f>
        <v>Softeon Supply Chain Solution Suite</v>
      </c>
      <c r="B7329" s="4" t="s">
        <v>2967</v>
      </c>
      <c r="C7329" s="8" t="s">
        <v>5</v>
      </c>
      <c r="D7329" s="11" t="s">
        <v>2968</v>
      </c>
    </row>
    <row r="7330" spans="1:4" ht="30">
      <c r="A7330" s="5" t="str">
        <f>HYPERLINK("https://www.oit.va.gov/Services/TRM/ToolPage.aspx?tid=11458^","Lightweight Directory Access Protocol (LDAP) Browser")</f>
        <v>Lightweight Directory Access Protocol (LDAP) Browser</v>
      </c>
      <c r="B7330" s="4" t="s">
        <v>1692</v>
      </c>
      <c r="C7330" s="8" t="s">
        <v>5</v>
      </c>
      <c r="D7330" s="11" t="s">
        <v>1693</v>
      </c>
    </row>
    <row r="7331" spans="1:4" ht="30">
      <c r="A7331" s="5" t="str">
        <f>HYPERLINK("https://www.oit.va.gov/Services/TRM/ToolPage.aspx?tid=16493^","novaPDF Software Development Kit (SDK)")</f>
        <v>novaPDF Software Development Kit (SDK)</v>
      </c>
      <c r="B7331" s="4" t="s">
        <v>1776</v>
      </c>
      <c r="C7331" s="8" t="s">
        <v>5</v>
      </c>
      <c r="D7331" s="11" t="s">
        <v>1051</v>
      </c>
    </row>
    <row r="7332" spans="1:4" ht="30">
      <c r="A7332" s="5" t="str">
        <f>HYPERLINK("https://www.oit.va.gov/Services/TRM/ToolPage.aspx?tid=6081^","novaPDF")</f>
        <v>novaPDF</v>
      </c>
      <c r="B7332" s="4" t="s">
        <v>1776</v>
      </c>
      <c r="C7332" s="8" t="s">
        <v>5</v>
      </c>
      <c r="D7332" s="11" t="s">
        <v>4514</v>
      </c>
    </row>
    <row r="7333" spans="1:4" ht="30">
      <c r="A7333" s="5" t="str">
        <f>HYPERLINK("https://www.oit.va.gov/Services/TRM/ToolPage.aspx?tid=11146^","doPDF")</f>
        <v>doPDF</v>
      </c>
      <c r="B7333" s="4" t="s">
        <v>1776</v>
      </c>
      <c r="C7333" s="8" t="s">
        <v>5</v>
      </c>
      <c r="D7333" s="11" t="s">
        <v>7791</v>
      </c>
    </row>
    <row r="7334" spans="1:4" ht="30">
      <c r="A7334" s="5" t="str">
        <f>HYPERLINK("https://www.oit.va.gov/Services/TRM/ToolPage.aspx?tid=14837^","Find My Font")</f>
        <v>Find My Font</v>
      </c>
      <c r="B7334" s="4" t="s">
        <v>6612</v>
      </c>
      <c r="C7334" s="8" t="s">
        <v>5</v>
      </c>
      <c r="D7334" s="11" t="s">
        <v>1215</v>
      </c>
    </row>
    <row r="7335" spans="1:4" ht="30">
      <c r="A7335" s="5" t="str">
        <f>HYPERLINK("https://www.oit.va.gov/Services/TRM/ToolPage.aspx?tid=10434^","SoftPerfect Network Scanner")</f>
        <v>SoftPerfect Network Scanner</v>
      </c>
      <c r="B7335" s="4" t="s">
        <v>4811</v>
      </c>
      <c r="C7335" s="8" t="s">
        <v>5</v>
      </c>
      <c r="D7335" s="11" t="s">
        <v>1966</v>
      </c>
    </row>
    <row r="7336" spans="1:4" ht="30">
      <c r="A7336" s="5" t="str">
        <f>HYPERLINK("https://www.oit.va.gov/Services/TRM/ToolPage.aspx?tid=15344^","Softtech Health Document Management System (DMS)")</f>
        <v>Softtech Health Document Management System (DMS)</v>
      </c>
      <c r="B7336" s="4" t="s">
        <v>4812</v>
      </c>
      <c r="C7336" s="8" t="s">
        <v>5</v>
      </c>
      <c r="D7336" s="11" t="s">
        <v>2398</v>
      </c>
    </row>
    <row r="7337" spans="1:4" ht="30">
      <c r="A7337" s="5" t="str">
        <f>HYPERLINK("https://www.oit.va.gov/Services/TRM/ToolPage.aspx?tid=13729^","webMethods")</f>
        <v>webMethods</v>
      </c>
      <c r="B7337" s="4" t="s">
        <v>902</v>
      </c>
      <c r="C7337" s="8" t="s">
        <v>5</v>
      </c>
      <c r="D7337" s="11" t="s">
        <v>903</v>
      </c>
    </row>
    <row r="7338" spans="1:4" ht="30">
      <c r="A7338" s="5" t="str">
        <f>HYPERLINK("https://www.oit.va.gov/Services/TRM/ToolPage.aspx?tid=9680^","Natural")</f>
        <v>Natural</v>
      </c>
      <c r="B7338" s="4" t="s">
        <v>902</v>
      </c>
      <c r="C7338" s="8" t="s">
        <v>5</v>
      </c>
      <c r="D7338" s="11" t="s">
        <v>1994</v>
      </c>
    </row>
    <row r="7339" spans="1:4" ht="30">
      <c r="A7339" s="5" t="str">
        <f>HYPERLINK("https://www.oit.va.gov/Services/TRM/ToolPage.aspx?tid=10048^","Adabas")</f>
        <v>Adabas</v>
      </c>
      <c r="B7339" s="4" t="s">
        <v>902</v>
      </c>
      <c r="C7339" s="8" t="s">
        <v>5</v>
      </c>
      <c r="D7339" s="11" t="s">
        <v>6234</v>
      </c>
    </row>
    <row r="7340" spans="1:4" ht="30">
      <c r="A7340" s="5" t="str">
        <f>HYPERLINK("https://www.oit.va.gov/Services/TRM/ToolPage.aspx?tid=10049^","Adabas Online Service (AOS)")</f>
        <v>Adabas Online Service (AOS)</v>
      </c>
      <c r="B7340" s="4" t="s">
        <v>902</v>
      </c>
      <c r="C7340" s="8" t="s">
        <v>5</v>
      </c>
      <c r="D7340" s="11" t="s">
        <v>6235</v>
      </c>
    </row>
    <row r="7341" spans="1:4" ht="30">
      <c r="A7341" s="5" t="str">
        <f>HYPERLINK("https://www.oit.va.gov/Services/TRM/ToolPage.aspx?tid=8340^","Entire Connection")</f>
        <v>Entire Connection</v>
      </c>
      <c r="B7341" s="4" t="s">
        <v>902</v>
      </c>
      <c r="C7341" s="8" t="s">
        <v>5</v>
      </c>
      <c r="D7341" s="11" t="s">
        <v>5605</v>
      </c>
    </row>
    <row r="7342" spans="1:4" ht="30">
      <c r="A7342" s="5" t="str">
        <f>HYPERLINK("https://www.oit.va.gov/Services/TRM/ToolPage.aspx?tid=9807^","Software AG Predict")</f>
        <v>Software AG Predict</v>
      </c>
      <c r="B7342" s="4" t="s">
        <v>902</v>
      </c>
      <c r="C7342" s="8" t="s">
        <v>5</v>
      </c>
      <c r="D7342" s="11" t="s">
        <v>8687</v>
      </c>
    </row>
    <row r="7343" spans="1:4" ht="30">
      <c r="A7343" s="5" t="str">
        <f>HYPERLINK("https://www.oit.va.gov/Services/TRM/ToolPage.aspx?tid=8554^","Inter-Program Command Processor (IPCP) Plus")</f>
        <v>Inter-Program Command Processor (IPCP) Plus</v>
      </c>
      <c r="B7343" s="4" t="s">
        <v>1657</v>
      </c>
      <c r="C7343" s="8" t="s">
        <v>5</v>
      </c>
      <c r="D7343" s="11" t="s">
        <v>1658</v>
      </c>
    </row>
    <row r="7344" spans="1:4" ht="30">
      <c r="A7344" s="5" t="str">
        <f>HYPERLINK("https://www.oit.va.gov/Services/TRM/ToolPage.aspx?tid=9982^","Multiterm Multiple Virtual Storage (MVS)")</f>
        <v>Multiterm Multiple Virtual Storage (MVS)</v>
      </c>
      <c r="B7344" s="4" t="s">
        <v>1657</v>
      </c>
      <c r="C7344" s="8" t="s">
        <v>5</v>
      </c>
      <c r="D7344" s="11" t="s">
        <v>627</v>
      </c>
    </row>
    <row r="7345" spans="1:4" ht="30">
      <c r="A7345" s="5" t="str">
        <f>HYPERLINK("https://www.oit.va.gov/Services/TRM/ToolPage.aspx?tid=13542^","Virtel Web Access")</f>
        <v>Virtel Web Access</v>
      </c>
      <c r="B7345" s="4" t="s">
        <v>1657</v>
      </c>
      <c r="C7345" s="8" t="s">
        <v>5</v>
      </c>
      <c r="D7345" s="11" t="s">
        <v>5380</v>
      </c>
    </row>
    <row r="7346" spans="1:4" ht="30">
      <c r="A7346" s="5" t="str">
        <f>HYPERLINK("https://www.oit.va.gov/Services/TRM/ToolPage.aspx?tid=13674^","PageFour")</f>
        <v>PageFour</v>
      </c>
      <c r="B7346" s="4" t="s">
        <v>8384</v>
      </c>
      <c r="C7346" s="8" t="s">
        <v>5</v>
      </c>
      <c r="D7346" s="11" t="s">
        <v>3416</v>
      </c>
    </row>
    <row r="7347" spans="1:4" ht="30">
      <c r="A7347" s="5" t="str">
        <f>HYPERLINK("https://www.oit.va.gov/Services/TRM/ToolPage.aspx?tid=6396^","Git")</f>
        <v>Git</v>
      </c>
      <c r="B7347" s="4" t="s">
        <v>2126</v>
      </c>
      <c r="C7347" s="8" t="s">
        <v>5</v>
      </c>
      <c r="D7347" s="11" t="s">
        <v>2127</v>
      </c>
    </row>
    <row r="7348" spans="1:4" ht="30">
      <c r="A7348" s="5" t="str">
        <f>HYPERLINK("https://www.oit.va.gov/Services/TRM/ToolPage.aspx?tid=14021^","Mouseketeer")</f>
        <v>Mouseketeer</v>
      </c>
      <c r="B7348" s="4" t="s">
        <v>8282</v>
      </c>
      <c r="C7348" s="8" t="s">
        <v>5</v>
      </c>
      <c r="D7348" s="11" t="s">
        <v>8283</v>
      </c>
    </row>
    <row r="7349" spans="1:4" ht="30">
      <c r="A7349" s="5" t="str">
        <f>HYPERLINK("https://www.oit.va.gov/Services/TRM/ToolPage.aspx?tid=9348^","QuickTextPaste")</f>
        <v>QuickTextPaste</v>
      </c>
      <c r="B7349" s="4" t="s">
        <v>8523</v>
      </c>
      <c r="C7349" s="8" t="s">
        <v>5</v>
      </c>
      <c r="D7349" s="11" t="s">
        <v>7604</v>
      </c>
    </row>
    <row r="7350" spans="1:4" ht="30">
      <c r="A7350" s="5" t="str">
        <f>HYPERLINK("https://www.oit.va.gov/Services/TRM/ToolPage.aspx?tid=14430^","Portable Document Format Edit 995 (PDFEdit995)")</f>
        <v>Portable Document Format Edit 995 (PDFEdit995)</v>
      </c>
      <c r="B7350" s="4" t="s">
        <v>7012</v>
      </c>
      <c r="C7350" s="8" t="s">
        <v>5</v>
      </c>
      <c r="D7350" s="11" t="s">
        <v>2303</v>
      </c>
    </row>
    <row r="7351" spans="1:4" ht="30">
      <c r="A7351" s="5" t="str">
        <f>HYPERLINK("https://www.oit.va.gov/Services/TRM/ToolPage.aspx?tid=11483^","PDF995")</f>
        <v>PDF995</v>
      </c>
      <c r="B7351" s="4" t="s">
        <v>7012</v>
      </c>
      <c r="C7351" s="8" t="s">
        <v>5</v>
      </c>
      <c r="D7351" s="11" t="s">
        <v>7280</v>
      </c>
    </row>
    <row r="7352" spans="1:4" ht="30">
      <c r="A7352" s="5" t="str">
        <f>HYPERLINK("https://www.oit.va.gov/Services/TRM/ToolPage.aspx?tid=16797^","Solar Technology Command Center")</f>
        <v>Solar Technology Command Center</v>
      </c>
      <c r="B7352" s="4" t="s">
        <v>4813</v>
      </c>
      <c r="C7352" s="8" t="s">
        <v>5</v>
      </c>
      <c r="D7352" s="11" t="s">
        <v>1825</v>
      </c>
    </row>
    <row r="7353" spans="1:4" ht="30">
      <c r="A7353" s="5" t="str">
        <f>HYPERLINK("https://www.oit.va.gov/Services/TRM/ToolPage.aspx?tid=8889^","Kiwi Systems Log (Syslog) Server")</f>
        <v>Kiwi Systems Log (Syslog) Server</v>
      </c>
      <c r="B7353" s="4" t="s">
        <v>738</v>
      </c>
      <c r="C7353" s="8" t="s">
        <v>5</v>
      </c>
      <c r="D7353" s="11" t="s">
        <v>718</v>
      </c>
    </row>
    <row r="7354" spans="1:4" ht="30">
      <c r="A7354" s="5" t="str">
        <f>HYPERLINK("https://www.oit.va.gov/Services/TRM/ToolPage.aspx?tid=16369^","SolarWinds Web Performance Monitor")</f>
        <v>SolarWinds Web Performance Monitor</v>
      </c>
      <c r="B7354" s="4" t="s">
        <v>738</v>
      </c>
      <c r="C7354" s="8" t="s">
        <v>5</v>
      </c>
      <c r="D7354" s="11" t="s">
        <v>862</v>
      </c>
    </row>
    <row r="7355" spans="1:4" ht="30">
      <c r="A7355" s="5" t="str">
        <f>HYPERLINK("https://www.oit.va.gov/Services/TRM/ToolPage.aspx?tid=14598^","Access Rights Manager (ARM)")</f>
        <v>Access Rights Manager (ARM)</v>
      </c>
      <c r="B7355" s="4" t="s">
        <v>738</v>
      </c>
      <c r="C7355" s="8" t="s">
        <v>5</v>
      </c>
      <c r="D7355" s="11" t="s">
        <v>1262</v>
      </c>
    </row>
    <row r="7356" spans="1:4" ht="30">
      <c r="A7356" s="5" t="str">
        <f>HYPERLINK("https://www.oit.va.gov/Services/TRM/ToolPage.aspx?tid=9379^","Structured Query Language (SQL) Sentry Plan Explorer")</f>
        <v>Structured Query Language (SQL) Sentry Plan Explorer</v>
      </c>
      <c r="B7356" s="4" t="s">
        <v>738</v>
      </c>
      <c r="C7356" s="8" t="s">
        <v>5</v>
      </c>
      <c r="D7356" s="11" t="s">
        <v>1964</v>
      </c>
    </row>
    <row r="7357" spans="1:4" ht="30">
      <c r="A7357" s="5" t="str">
        <f>HYPERLINK("https://www.oit.va.gov/Services/TRM/ToolPage.aspx?tid=10533^","Event Log Forwarder for Windows")</f>
        <v>Event Log Forwarder for Windows</v>
      </c>
      <c r="B7357" s="4" t="s">
        <v>738</v>
      </c>
      <c r="C7357" s="8" t="s">
        <v>5</v>
      </c>
      <c r="D7357" s="11" t="s">
        <v>2118</v>
      </c>
    </row>
    <row r="7358" spans="1:4" ht="30">
      <c r="A7358" s="5" t="str">
        <f>HYPERLINK("https://www.oit.va.gov/Services/TRM/ToolPage.aspx?tid=11581^","Internet Protocol Address Manager (IPAM)")</f>
        <v>Internet Protocol Address Manager (IPAM)</v>
      </c>
      <c r="B7358" s="4" t="s">
        <v>738</v>
      </c>
      <c r="C7358" s="8" t="s">
        <v>5</v>
      </c>
      <c r="D7358" s="11" t="s">
        <v>2534</v>
      </c>
    </row>
    <row r="7359" spans="1:4" ht="30">
      <c r="A7359" s="5" t="str">
        <f>HYPERLINK("https://www.oit.va.gov/Services/TRM/ToolPage.aspx?tid=7582^","Kiwi CatTools")</f>
        <v>Kiwi CatTools</v>
      </c>
      <c r="B7359" s="4" t="s">
        <v>738</v>
      </c>
      <c r="C7359" s="8" t="s">
        <v>5</v>
      </c>
      <c r="D7359" s="11" t="s">
        <v>1693</v>
      </c>
    </row>
    <row r="7360" spans="1:4" ht="30">
      <c r="A7360" s="5" t="str">
        <f>HYPERLINK("https://www.oit.va.gov/Services/TRM/ToolPage.aspx?tid=6383^","SolarWinds Engineers Toolset (ETS)")</f>
        <v>SolarWinds Engineers Toolset (ETS)</v>
      </c>
      <c r="B7360" s="4" t="s">
        <v>738</v>
      </c>
      <c r="C7360" s="8" t="s">
        <v>5</v>
      </c>
      <c r="D7360" s="11" t="s">
        <v>2969</v>
      </c>
    </row>
    <row r="7361" spans="1:4" ht="30">
      <c r="A7361" s="5" t="str">
        <f>HYPERLINK("https://www.oit.va.gov/Services/TRM/ToolPage.aspx?tid=11691^","SolarWinds License Manager")</f>
        <v>SolarWinds License Manager</v>
      </c>
      <c r="B7361" s="4" t="s">
        <v>738</v>
      </c>
      <c r="C7361" s="8" t="s">
        <v>5</v>
      </c>
      <c r="D7361" s="11" t="s">
        <v>2970</v>
      </c>
    </row>
    <row r="7362" spans="1:4" ht="30">
      <c r="A7362" s="5" t="str">
        <f>HYPERLINK("https://www.oit.va.gov/Services/TRM/ToolPage.aspx?tid=8395^","SolarWinds NetFlow Traffic Analyzer (NTA)")</f>
        <v>SolarWinds NetFlow Traffic Analyzer (NTA)</v>
      </c>
      <c r="B7362" s="4" t="s">
        <v>738</v>
      </c>
      <c r="C7362" s="8" t="s">
        <v>5</v>
      </c>
      <c r="D7362" s="11" t="s">
        <v>2971</v>
      </c>
    </row>
    <row r="7363" spans="1:4" ht="30">
      <c r="A7363" s="5" t="str">
        <f>HYPERLINK("https://www.oit.va.gov/Services/TRM/ToolPage.aspx?tid=9091^","SolarWinds Network Configuration Manager")</f>
        <v>SolarWinds Network Configuration Manager</v>
      </c>
      <c r="B7363" s="4" t="s">
        <v>738</v>
      </c>
      <c r="C7363" s="8" t="s">
        <v>5</v>
      </c>
      <c r="D7363" s="11" t="s">
        <v>2972</v>
      </c>
    </row>
    <row r="7364" spans="1:4" ht="30">
      <c r="A7364" s="5" t="str">
        <f>HYPERLINK("https://www.oit.va.gov/Services/TRM/ToolPage.aspx?tid=6384^","Solarwinds Network Performance Monitor")</f>
        <v>Solarwinds Network Performance Monitor</v>
      </c>
      <c r="B7364" s="4" t="s">
        <v>738</v>
      </c>
      <c r="C7364" s="8" t="s">
        <v>5</v>
      </c>
      <c r="D7364" s="11" t="s">
        <v>2973</v>
      </c>
    </row>
    <row r="7365" spans="1:4" ht="30">
      <c r="A7365" s="5" t="str">
        <f>HYPERLINK("https://www.oit.va.gov/Services/TRM/ToolPage.aspx?tid=8195^","SolarWinds Server and Application Monitor (SAM)")</f>
        <v>SolarWinds Server and Application Monitor (SAM)</v>
      </c>
      <c r="B7365" s="4" t="s">
        <v>738</v>
      </c>
      <c r="C7365" s="8" t="s">
        <v>5</v>
      </c>
      <c r="D7365" s="11" t="s">
        <v>2974</v>
      </c>
    </row>
    <row r="7366" spans="1:4" ht="30">
      <c r="A7366" s="5" t="str">
        <f>HYPERLINK("https://www.oit.va.gov/Services/TRM/ToolPage.aspx?tid=6139^","SolarWinds Simple Network Management Protocol (SNMP) Enabler for Windows")</f>
        <v>SolarWinds Simple Network Management Protocol (SNMP) Enabler for Windows</v>
      </c>
      <c r="B7366" s="4" t="s">
        <v>738</v>
      </c>
      <c r="C7366" s="8" t="s">
        <v>5</v>
      </c>
      <c r="D7366" s="11" t="s">
        <v>2975</v>
      </c>
    </row>
    <row r="7367" spans="1:4" ht="30">
      <c r="A7367" s="5" t="str">
        <f>HYPERLINK("https://www.oit.va.gov/Services/TRM/ToolPage.aspx?tid=8488^","SolarWinds User Device Tracker (UDT)")</f>
        <v>SolarWinds User Device Tracker (UDT)</v>
      </c>
      <c r="B7367" s="4" t="s">
        <v>738</v>
      </c>
      <c r="C7367" s="8" t="s">
        <v>5</v>
      </c>
      <c r="D7367" s="11" t="s">
        <v>2976</v>
      </c>
    </row>
    <row r="7368" spans="1:4" ht="30">
      <c r="A7368" s="5" t="str">
        <f>HYPERLINK("https://www.oit.va.gov/Services/TRM/ToolPage.aspx?tid=14838^","SolarWinds Virtualization Manager (VMAN)")</f>
        <v>SolarWinds Virtualization Manager (VMAN)</v>
      </c>
      <c r="B7368" s="4" t="s">
        <v>738</v>
      </c>
      <c r="C7368" s="8" t="s">
        <v>5</v>
      </c>
      <c r="D7368" s="11" t="s">
        <v>2977</v>
      </c>
    </row>
    <row r="7369" spans="1:4" ht="30">
      <c r="A7369" s="5" t="str">
        <f>HYPERLINK("https://www.oit.va.gov/Services/TRM/ToolPage.aspx?tid=15953^","SolarWinds Web Help Desk (WHD)")</f>
        <v>SolarWinds Web Help Desk (WHD)</v>
      </c>
      <c r="B7369" s="4" t="s">
        <v>738</v>
      </c>
      <c r="C7369" s="8" t="s">
        <v>5</v>
      </c>
      <c r="D7369" s="11" t="s">
        <v>1949</v>
      </c>
    </row>
    <row r="7370" spans="1:4" ht="30">
      <c r="A7370" s="5" t="str">
        <f>HYPERLINK("https://www.oit.va.gov/Services/TRM/ToolPage.aspx?tid=8487^","Security Event Manager (SEM)")</f>
        <v>Security Event Manager (SEM)</v>
      </c>
      <c r="B7370" s="4" t="s">
        <v>738</v>
      </c>
      <c r="C7370" s="8" t="s">
        <v>5</v>
      </c>
      <c r="D7370" s="11" t="s">
        <v>3509</v>
      </c>
    </row>
    <row r="7371" spans="1:4" ht="30">
      <c r="A7371" s="5" t="str">
        <f>HYPERLINK("https://www.oit.va.gov/Services/TRM/ToolPage.aspx?tid=6862^","Serv-U File Server")</f>
        <v>Serv-U File Server</v>
      </c>
      <c r="B7371" s="4" t="s">
        <v>738</v>
      </c>
      <c r="C7371" s="8" t="s">
        <v>5</v>
      </c>
      <c r="D7371" s="11" t="s">
        <v>3515</v>
      </c>
    </row>
    <row r="7372" spans="1:4" ht="30">
      <c r="A7372" s="5" t="str">
        <f>HYPERLINK("https://www.oit.va.gov/Services/TRM/ToolPage.aspx?tid=13876^","SolarWinds Database Performance Analyzer")</f>
        <v>SolarWinds Database Performance Analyzer</v>
      </c>
      <c r="B7372" s="4" t="s">
        <v>738</v>
      </c>
      <c r="C7372" s="8" t="s">
        <v>5</v>
      </c>
      <c r="D7372" s="11" t="s">
        <v>4814</v>
      </c>
    </row>
    <row r="7373" spans="1:4" ht="30">
      <c r="A7373" s="5" t="str">
        <f>HYPERLINK("https://www.oit.va.gov/Services/TRM/ToolPage.aspx?tid=15019^","Solarwinds Enterprise Operation Console (EOC)")</f>
        <v>Solarwinds Enterprise Operation Console (EOC)</v>
      </c>
      <c r="B7373" s="4" t="s">
        <v>738</v>
      </c>
      <c r="C7373" s="8" t="s">
        <v>5</v>
      </c>
      <c r="D7373" s="11" t="s">
        <v>4815</v>
      </c>
    </row>
    <row r="7374" spans="1:4" ht="30">
      <c r="A7374" s="5" t="str">
        <f>HYPERLINK("https://www.oit.va.gov/Services/TRM/ToolPage.aspx?tid=13755^","Solarwinds Internet Protocol (IP) Monitor")</f>
        <v>Solarwinds Internet Protocol (IP) Monitor</v>
      </c>
      <c r="B7374" s="4" t="s">
        <v>738</v>
      </c>
      <c r="C7374" s="8" t="s">
        <v>5</v>
      </c>
      <c r="D7374" s="11" t="s">
        <v>4816</v>
      </c>
    </row>
    <row r="7375" spans="1:4" ht="30">
      <c r="A7375" s="5" t="str">
        <f>HYPERLINK("https://www.oit.va.gov/Services/TRM/ToolPage.aspx?tid=15072^","SolarWinds Patch Manager")</f>
        <v>SolarWinds Patch Manager</v>
      </c>
      <c r="B7375" s="4" t="s">
        <v>738</v>
      </c>
      <c r="C7375" s="8" t="s">
        <v>5</v>
      </c>
      <c r="D7375" s="11" t="s">
        <v>4817</v>
      </c>
    </row>
    <row r="7376" spans="1:4" ht="30">
      <c r="A7376" s="5" t="str">
        <f>HYPERLINK("https://www.oit.va.gov/Services/TRM/ToolPage.aspx?tid=15152^","SolarWinds Recommendations")</f>
        <v>SolarWinds Recommendations</v>
      </c>
      <c r="B7376" s="4" t="s">
        <v>738</v>
      </c>
      <c r="C7376" s="8" t="s">
        <v>5</v>
      </c>
      <c r="D7376" s="11" t="s">
        <v>4818</v>
      </c>
    </row>
    <row r="7377" spans="1:4" ht="30">
      <c r="A7377" s="5" t="str">
        <f>HYPERLINK("https://www.oit.va.gov/Services/TRM/ToolPage.aspx?tid=16351^","SolarWinds SFTP/SCP Server")</f>
        <v>SolarWinds SFTP/SCP Server</v>
      </c>
      <c r="B7377" s="4" t="s">
        <v>738</v>
      </c>
      <c r="C7377" s="8" t="s">
        <v>5</v>
      </c>
      <c r="D7377" s="11" t="s">
        <v>4324</v>
      </c>
    </row>
    <row r="7378" spans="1:4" ht="30">
      <c r="A7378" s="5" t="str">
        <f>HYPERLINK("https://www.oit.va.gov/Services/TRM/ToolPage.aspx?tid=10591^","SolarWinds Storage Resource Monitor (SRM)")</f>
        <v>SolarWinds Storage Resource Monitor (SRM)</v>
      </c>
      <c r="B7378" s="4" t="s">
        <v>738</v>
      </c>
      <c r="C7378" s="8" t="s">
        <v>5</v>
      </c>
      <c r="D7378" s="11" t="s">
        <v>2976</v>
      </c>
    </row>
    <row r="7379" spans="1:4" ht="30">
      <c r="A7379" s="5" t="str">
        <f>HYPERLINK("https://www.oit.va.gov/Services/TRM/ToolPage.aspx?tid=14840^","SolarWinds Structured Query Language (SQL) Sentry")</f>
        <v>SolarWinds Structured Query Language (SQL) Sentry</v>
      </c>
      <c r="B7379" s="4" t="s">
        <v>738</v>
      </c>
      <c r="C7379" s="8" t="s">
        <v>5</v>
      </c>
      <c r="D7379" s="11" t="s">
        <v>4819</v>
      </c>
    </row>
    <row r="7380" spans="1:4" ht="30">
      <c r="A7380" s="5" t="str">
        <f>HYPERLINK("https://www.oit.va.gov/Services/TRM/ToolPage.aspx?tid=12901^","Solarwinds Virtual Infrastructure Monitor (VIM)")</f>
        <v>Solarwinds Virtual Infrastructure Monitor (VIM)</v>
      </c>
      <c r="B7380" s="4" t="s">
        <v>738</v>
      </c>
      <c r="C7380" s="8" t="s">
        <v>5</v>
      </c>
      <c r="D7380" s="11" t="s">
        <v>4820</v>
      </c>
    </row>
    <row r="7381" spans="1:4" ht="30">
      <c r="A7381" s="5" t="str">
        <f>HYPERLINK("https://www.oit.va.gov/Services/TRM/ToolPage.aspx?tid=8396^","SolarWinds Voice over Internet Protocol (VoIP) and Network Quality Manager")</f>
        <v>SolarWinds Voice over Internet Protocol (VoIP) and Network Quality Manager</v>
      </c>
      <c r="B7381" s="4" t="s">
        <v>738</v>
      </c>
      <c r="C7381" s="8" t="s">
        <v>5</v>
      </c>
      <c r="D7381" s="11" t="s">
        <v>4816</v>
      </c>
    </row>
    <row r="7382" spans="1:4" ht="30">
      <c r="A7382" s="5" t="str">
        <f>HYPERLINK("https://www.oit.va.gov/Services/TRM/ToolPage.aspx?tid=16782^","SolarWinds IP Address Tracker")</f>
        <v>SolarWinds IP Address Tracker</v>
      </c>
      <c r="B7382" s="4" t="s">
        <v>738</v>
      </c>
      <c r="C7382" s="8" t="s">
        <v>5</v>
      </c>
      <c r="D7382" s="11" t="s">
        <v>1834</v>
      </c>
    </row>
    <row r="7383" spans="1:4" ht="30">
      <c r="A7383" s="5" t="str">
        <f>HYPERLINK("https://www.oit.va.gov/Services/TRM/ToolPage.aspx?tid=5877^","Advanced Subnet Calculator")</f>
        <v>Advanced Subnet Calculator</v>
      </c>
      <c r="B7383" s="4" t="s">
        <v>738</v>
      </c>
      <c r="C7383" s="8" t="s">
        <v>5</v>
      </c>
      <c r="D7383" s="11" t="s">
        <v>3769</v>
      </c>
    </row>
    <row r="7384" spans="1:4" ht="30">
      <c r="A7384" s="5" t="str">
        <f>HYPERLINK("https://www.oit.va.gov/Services/TRM/ToolPage.aspx?tid=11594^","Network Atlas")</f>
        <v>Network Atlas</v>
      </c>
      <c r="B7384" s="4" t="s">
        <v>738</v>
      </c>
      <c r="C7384" s="8" t="s">
        <v>5</v>
      </c>
      <c r="D7384" s="11" t="s">
        <v>3437</v>
      </c>
    </row>
    <row r="7385" spans="1:4" ht="30">
      <c r="A7385" s="5" t="str">
        <f>HYPERLINK("https://www.oit.va.gov/Services/TRM/ToolPage.aspx?tid=8779^","Network Topology Mapper (NTM)")</f>
        <v>Network Topology Mapper (NTM)</v>
      </c>
      <c r="B7385" s="4" t="s">
        <v>738</v>
      </c>
      <c r="C7385" s="8" t="s">
        <v>5</v>
      </c>
      <c r="D7385" s="11" t="s">
        <v>1048</v>
      </c>
    </row>
    <row r="7386" spans="1:4" ht="30">
      <c r="A7386" s="5" t="str">
        <f>HYPERLINK("https://www.oit.va.gov/Services/TRM/ToolPage.aspx?tid=10763^","Orion Software Development Kit (SDK)")</f>
        <v>Orion Software Development Kit (SDK)</v>
      </c>
      <c r="B7386" s="4" t="s">
        <v>738</v>
      </c>
      <c r="C7386" s="8" t="s">
        <v>5</v>
      </c>
      <c r="D7386" s="11" t="s">
        <v>6982</v>
      </c>
    </row>
    <row r="7387" spans="1:4" ht="30">
      <c r="A7387" s="5" t="str">
        <f>HYPERLINK("https://www.oit.va.gov/Services/TRM/ToolPage.aspx?tid=14562^","SOLO viSo (mobile)")</f>
        <v>SOLO viSo (mobile)</v>
      </c>
      <c r="B7387" s="4" t="s">
        <v>738</v>
      </c>
      <c r="C7387" s="8" t="s">
        <v>5</v>
      </c>
      <c r="D7387" s="11" t="s">
        <v>7161</v>
      </c>
    </row>
    <row r="7388" spans="1:4" ht="30">
      <c r="A7388" s="5" t="str">
        <f>HYPERLINK("https://www.oit.va.gov/Services/TRM/ToolPage.aspx?tid=13027^","Solarwinds Response Time Viewer")</f>
        <v>Solarwinds Response Time Viewer</v>
      </c>
      <c r="B7388" s="4" t="s">
        <v>738</v>
      </c>
      <c r="C7388" s="8" t="s">
        <v>5</v>
      </c>
      <c r="D7388" s="11" t="s">
        <v>8691</v>
      </c>
    </row>
    <row r="7389" spans="1:4" ht="30">
      <c r="A7389" s="5" t="str">
        <f>HYPERLINK("https://www.oit.va.gov/Services/TRM/ToolPage.aspx?tid=6156^","Trivial File Transfer Protocol (TFTP) Server")</f>
        <v>Trivial File Transfer Protocol (TFTP) Server</v>
      </c>
      <c r="B7389" s="4" t="s">
        <v>738</v>
      </c>
      <c r="C7389" s="8" t="s">
        <v>5</v>
      </c>
      <c r="D7389" s="11" t="s">
        <v>7146</v>
      </c>
    </row>
    <row r="7390" spans="1:4" ht="30">
      <c r="A7390" s="5" t="str">
        <f>HYPERLINK("https://www.oit.va.gov/Services/TRM/ToolPage.aspx?tid=9736^","Solibri Model Viewer (SMV)")</f>
        <v>Solibri Model Viewer (SMV)</v>
      </c>
      <c r="B7390" s="4" t="s">
        <v>8692</v>
      </c>
      <c r="C7390" s="8" t="s">
        <v>5</v>
      </c>
      <c r="D7390" s="11" t="s">
        <v>5507</v>
      </c>
    </row>
    <row r="7391" spans="1:4" ht="30">
      <c r="A7391" s="5" t="str">
        <f>HYPERLINK("https://www.oit.va.gov/Services/TRM/ToolPage.aspx?tid=10152^","SolidCAM (Computer-Aided Manufacturing)")</f>
        <v>SolidCAM (Computer-Aided Manufacturing)</v>
      </c>
      <c r="B7391" s="4" t="s">
        <v>7158</v>
      </c>
      <c r="C7391" s="8" t="s">
        <v>5</v>
      </c>
      <c r="D7391" s="11" t="s">
        <v>7159</v>
      </c>
    </row>
    <row r="7392" spans="1:4" ht="30">
      <c r="A7392" s="5" t="str">
        <f>HYPERLINK("https://www.oit.va.gov/Services/TRM/ToolPage.aspx?tid=10738^","Time Machine")</f>
        <v>Time Machine</v>
      </c>
      <c r="B7392" s="4" t="s">
        <v>7232</v>
      </c>
      <c r="C7392" s="8" t="s">
        <v>5</v>
      </c>
      <c r="D7392" s="11" t="s">
        <v>7233</v>
      </c>
    </row>
    <row r="7393" spans="1:4" ht="30">
      <c r="A7393" s="5" t="str">
        <f>HYPERLINK("https://www.oit.va.gov/Services/TRM/ToolPage.aspx?tid=10573^","SolveigMM Windows Media Player (WMP) Trimmer Plugin")</f>
        <v>SolveigMM Windows Media Player (WMP) Trimmer Plugin</v>
      </c>
      <c r="B7393" s="4" t="s">
        <v>8693</v>
      </c>
      <c r="C7393" s="8" t="s">
        <v>5</v>
      </c>
      <c r="D7393" s="11" t="s">
        <v>8666</v>
      </c>
    </row>
    <row r="7394" spans="1:4" ht="30">
      <c r="A7394" s="5" t="str">
        <f>HYPERLINK("https://www.oit.va.gov/Services/TRM/ToolPage.aspx?tid=13736^","3M Core Grouping Software (CGS)")</f>
        <v>3M Core Grouping Software (CGS)</v>
      </c>
      <c r="B7394" s="4" t="s">
        <v>3687</v>
      </c>
      <c r="C7394" s="8" t="s">
        <v>5</v>
      </c>
      <c r="D7394" s="11" t="s">
        <v>3688</v>
      </c>
    </row>
    <row r="7395" spans="1:4" ht="30">
      <c r="A7395" s="5" t="str">
        <f>HYPERLINK("https://www.oit.va.gov/Services/TRM/ToolPage.aspx?tid=7448^","3M Littmann StethAssist Heart and Lung Sound Visualization Software")</f>
        <v>3M Littmann StethAssist Heart and Lung Sound Visualization Software</v>
      </c>
      <c r="B7395" s="4" t="s">
        <v>3687</v>
      </c>
      <c r="C7395" s="8" t="s">
        <v>5</v>
      </c>
      <c r="D7395" s="11" t="s">
        <v>5608</v>
      </c>
    </row>
    <row r="7396" spans="1:4" ht="30">
      <c r="A7396" s="5" t="str">
        <f>HYPERLINK("https://www.oit.va.gov/Services/TRM/ToolPage.aspx?tid=14431^","DriverDoc")</f>
        <v>DriverDoc</v>
      </c>
      <c r="B7396" s="4" t="s">
        <v>7797</v>
      </c>
      <c r="C7396" s="8" t="s">
        <v>5</v>
      </c>
      <c r="D7396" s="11" t="s">
        <v>7798</v>
      </c>
    </row>
    <row r="7397" spans="1:4" ht="30">
      <c r="A7397" s="5" t="str">
        <f>HYPERLINK("https://www.oit.va.gov/Services/TRM/ToolPage.aspx?tid=9763^","Alive Clinical")</f>
        <v>Alive Clinical</v>
      </c>
      <c r="B7397" s="4" t="s">
        <v>3144</v>
      </c>
      <c r="C7397" s="8" t="s">
        <v>5</v>
      </c>
      <c r="D7397" s="11" t="s">
        <v>157</v>
      </c>
    </row>
    <row r="7398" spans="1:4" ht="30">
      <c r="A7398" s="5" t="str">
        <f>HYPERLINK("https://www.oit.va.gov/Services/TRM/ToolPage.aspx?tid=14961^","Somnoware")</f>
        <v>Somnoware</v>
      </c>
      <c r="B7398" s="4" t="s">
        <v>6077</v>
      </c>
      <c r="C7398" s="8" t="s">
        <v>5</v>
      </c>
      <c r="D7398" s="11" t="s">
        <v>861</v>
      </c>
    </row>
    <row r="7399" spans="1:4" ht="30">
      <c r="A7399" s="5" t="str">
        <f>HYPERLINK("https://www.oit.va.gov/Services/TRM/ToolPage.aspx?tid=16157^","Somnoware Device Interface (SDI) - Attended")</f>
        <v>Somnoware Device Interface (SDI) - Attended</v>
      </c>
      <c r="B7399" s="4" t="s">
        <v>6077</v>
      </c>
      <c r="C7399" s="8" t="s">
        <v>5</v>
      </c>
      <c r="D7399" s="11" t="s">
        <v>3202</v>
      </c>
    </row>
    <row r="7400" spans="1:4" ht="30">
      <c r="A7400" s="5" t="str">
        <f>HYPERLINK("https://www.oit.va.gov/Services/TRM/ToolPage.aspx?tid=6777^","SonarQube")</f>
        <v>SonarQube</v>
      </c>
      <c r="B7400" s="4" t="s">
        <v>1947</v>
      </c>
      <c r="C7400" s="8" t="s">
        <v>5</v>
      </c>
      <c r="D7400" s="11" t="s">
        <v>1948</v>
      </c>
    </row>
    <row r="7401" spans="1:4" ht="30">
      <c r="A7401" s="5" t="str">
        <f>HYPERLINK("https://www.oit.va.gov/Services/TRM/ToolPage.aspx?tid=16680^","Nexus IQ Server")</f>
        <v>Nexus IQ Server</v>
      </c>
      <c r="B7401" s="4" t="s">
        <v>1769</v>
      </c>
      <c r="C7401" s="8" t="s">
        <v>5</v>
      </c>
      <c r="D7401" s="11" t="s">
        <v>1770</v>
      </c>
    </row>
    <row r="7402" spans="1:4" ht="30">
      <c r="A7402" s="5" t="str">
        <f>HYPERLINK("https://www.oit.va.gov/Services/TRM/ToolPage.aspx?tid=6411^","Sonatype Nexus Repository")</f>
        <v>Sonatype Nexus Repository</v>
      </c>
      <c r="B7402" s="4" t="s">
        <v>1769</v>
      </c>
      <c r="C7402" s="8" t="s">
        <v>5</v>
      </c>
      <c r="D7402" s="11" t="s">
        <v>1949</v>
      </c>
    </row>
    <row r="7403" spans="1:4" ht="30">
      <c r="A7403" s="5" t="str">
        <f>HYPERLINK("https://www.oit.va.gov/Services/TRM/ToolPage.aspx?tid=5976^","EXPRESSfit Pro")</f>
        <v>EXPRESSfit Pro</v>
      </c>
      <c r="B7403" s="4" t="s">
        <v>6598</v>
      </c>
      <c r="C7403" s="8" t="s">
        <v>5</v>
      </c>
      <c r="D7403" s="11" t="s">
        <v>215</v>
      </c>
    </row>
    <row r="7404" spans="1:4" ht="30">
      <c r="A7404" s="5" t="str">
        <f>HYPERLINK("https://www.oit.va.gov/Services/TRM/ToolPage.aspx?tid=6658^","Sonicwall Global Virtual Private Network (VPN) Client")</f>
        <v>Sonicwall Global Virtual Private Network (VPN) Client</v>
      </c>
      <c r="B7404" s="4" t="s">
        <v>3540</v>
      </c>
      <c r="C7404" s="8" t="s">
        <v>5</v>
      </c>
      <c r="D7404" s="11" t="s">
        <v>3541</v>
      </c>
    </row>
    <row r="7405" spans="1:4" ht="30">
      <c r="A7405" s="5" t="str">
        <f>HYPERLINK("https://www.oit.va.gov/Services/TRM/ToolPage.aspx?tid=15492^","Leo")</f>
        <v>Leo</v>
      </c>
      <c r="B7405" s="4" t="s">
        <v>4356</v>
      </c>
      <c r="C7405" s="8" t="s">
        <v>5</v>
      </c>
      <c r="D7405" s="11" t="s">
        <v>4270</v>
      </c>
    </row>
    <row r="7406" spans="1:4" ht="30">
      <c r="A7406" s="5" t="str">
        <f>HYPERLINK("https://www.oit.va.gov/Services/TRM/ToolPage.aspx?tid=11571^","Axis Image Management Software")</f>
        <v>Axis Image Management Software</v>
      </c>
      <c r="B7406" s="4" t="s">
        <v>4356</v>
      </c>
      <c r="C7406" s="8" t="s">
        <v>5</v>
      </c>
      <c r="D7406" s="11" t="s">
        <v>6316</v>
      </c>
    </row>
    <row r="7407" spans="1:4" ht="30">
      <c r="A7407" s="5" t="str">
        <f>HYPERLINK("https://www.oit.va.gov/Services/TRM/ToolPage.aspx?tid=16207^","SonoSim Ultrasound Training Solution")</f>
        <v>SonoSim Ultrasound Training Solution</v>
      </c>
      <c r="B7407" s="4" t="s">
        <v>4824</v>
      </c>
      <c r="C7407" s="8" t="s">
        <v>5</v>
      </c>
      <c r="D7407" s="11" t="s">
        <v>1506</v>
      </c>
    </row>
    <row r="7408" spans="1:4" ht="30">
      <c r="A7408" s="5" t="str">
        <f>HYPERLINK("https://www.oit.va.gov/Services/TRM/ToolPage.aspx?tid=11203^","iPFG Software")</f>
        <v>iPFG Software</v>
      </c>
      <c r="B7408" s="4" t="s">
        <v>2678</v>
      </c>
      <c r="C7408" s="8" t="s">
        <v>5</v>
      </c>
      <c r="D7408" s="11" t="s">
        <v>2679</v>
      </c>
    </row>
    <row r="7409" spans="1:4" ht="30">
      <c r="A7409" s="5" t="str">
        <f>HYPERLINK("https://www.oit.va.gov/Services/TRM/ToolPage.aspx?tid=16861^","Imaging Edge Desktop")</f>
        <v>Imaging Edge Desktop</v>
      </c>
      <c r="B7409" s="4" t="s">
        <v>1621</v>
      </c>
      <c r="C7409" s="8" t="s">
        <v>5</v>
      </c>
      <c r="D7409" s="11" t="s">
        <v>603</v>
      </c>
    </row>
    <row r="7410" spans="1:4" ht="30">
      <c r="A7410" s="5" t="str">
        <f>HYPERLINK("https://www.oit.va.gov/Services/TRM/ToolPage.aspx?tid=15641^","Sony Catalyst Browse")</f>
        <v>Sony Catalyst Browse</v>
      </c>
      <c r="B7410" s="4" t="s">
        <v>1621</v>
      </c>
      <c r="C7410" s="8" t="s">
        <v>5</v>
      </c>
      <c r="D7410" s="11" t="s">
        <v>4826</v>
      </c>
    </row>
    <row r="7411" spans="1:4" ht="30">
      <c r="A7411" s="5" t="str">
        <f>HYPERLINK("https://www.oit.va.gov/Services/TRM/ToolPage.aspx?tid=8513^","Sound Organizer")</f>
        <v>Sound Organizer</v>
      </c>
      <c r="B7411" s="4" t="s">
        <v>1621</v>
      </c>
      <c r="C7411" s="8" t="s">
        <v>5</v>
      </c>
      <c r="D7411" s="11" t="s">
        <v>5521</v>
      </c>
    </row>
    <row r="7412" spans="1:4" ht="30">
      <c r="A7412" s="5" t="str">
        <f>HYPERLINK("https://www.oit.va.gov/Services/TRM/ToolPage.aspx?tid=10759^","Digital Voice Editor")</f>
        <v>Digital Voice Editor</v>
      </c>
      <c r="B7412" s="4" t="s">
        <v>1621</v>
      </c>
      <c r="C7412" s="8" t="s">
        <v>5</v>
      </c>
      <c r="D7412" s="11" t="s">
        <v>7772</v>
      </c>
    </row>
    <row r="7413" spans="1:4" ht="30">
      <c r="A7413" s="5" t="str">
        <f>HYPERLINK("https://www.oit.va.gov/Services/TRM/ToolPage.aspx?tid=11660^","Picture Motion Browser")</f>
        <v>Picture Motion Browser</v>
      </c>
      <c r="B7413" s="4" t="s">
        <v>1621</v>
      </c>
      <c r="C7413" s="8" t="s">
        <v>5</v>
      </c>
      <c r="D7413" s="11" t="s">
        <v>6734</v>
      </c>
    </row>
    <row r="7414" spans="1:4" ht="30">
      <c r="A7414" s="5" t="str">
        <f>HYPERLINK("https://www.oit.va.gov/Services/TRM/ToolPage.aspx?tid=16199^","ReIcon")</f>
        <v>ReIcon</v>
      </c>
      <c r="B7414" s="4" t="s">
        <v>8551</v>
      </c>
      <c r="C7414" s="8" t="s">
        <v>5</v>
      </c>
      <c r="D7414" s="11" t="s">
        <v>7110</v>
      </c>
    </row>
    <row r="7415" spans="1:4" ht="30">
      <c r="A7415" s="5" t="str">
        <f>HYPERLINK("https://www.oit.va.gov/Services/TRM/ToolPage.aspx?tid=6926^","Sorenson ntouch Desktop")</f>
        <v>Sorenson ntouch Desktop</v>
      </c>
      <c r="B7415" s="4" t="s">
        <v>4827</v>
      </c>
      <c r="C7415" s="8" t="s">
        <v>5</v>
      </c>
      <c r="D7415" s="11" t="s">
        <v>1296</v>
      </c>
    </row>
    <row r="7416" spans="1:4" ht="30">
      <c r="A7416" s="5" t="str">
        <f>HYPERLINK("https://www.oit.va.gov/Services/TRM/ToolPage.aspx?tid=7275^","Sorenson Squeeze Desktop")</f>
        <v>Sorenson Squeeze Desktop</v>
      </c>
      <c r="B7416" s="4" t="s">
        <v>8694</v>
      </c>
      <c r="C7416" s="8" t="s">
        <v>5</v>
      </c>
      <c r="D7416" s="11" t="s">
        <v>8695</v>
      </c>
    </row>
    <row r="7417" spans="1:4" ht="30">
      <c r="A7417" s="5" t="str">
        <f>HYPERLINK("https://www.oit.va.gov/Services/TRM/ToolPage.aspx?tid=12931^","Sorna Vertex Importer")</f>
        <v>Sorna Vertex Importer</v>
      </c>
      <c r="B7417" s="4" t="s">
        <v>1950</v>
      </c>
      <c r="C7417" s="8" t="s">
        <v>5</v>
      </c>
      <c r="D7417" s="11" t="s">
        <v>190</v>
      </c>
    </row>
    <row r="7418" spans="1:4" ht="30">
      <c r="A7418" s="5" t="str">
        <f>HYPERLINK("https://www.oit.va.gov/Services/TRM/ToolPage.aspx?tid=6124^","Reviewer")</f>
        <v>Reviewer</v>
      </c>
      <c r="B7418" s="4" t="s">
        <v>1950</v>
      </c>
      <c r="C7418" s="8" t="s">
        <v>5</v>
      </c>
      <c r="D7418" s="11" t="s">
        <v>5990</v>
      </c>
    </row>
    <row r="7419" spans="1:4" ht="30">
      <c r="A7419" s="5" t="str">
        <f>HYPERLINK("https://www.oit.va.gov/Services/TRM/ToolPage.aspx?tid=11464^","SOTI MobiControl")</f>
        <v>SOTI MobiControl</v>
      </c>
      <c r="B7419" s="4" t="s">
        <v>4830</v>
      </c>
      <c r="C7419" s="8" t="s">
        <v>5</v>
      </c>
      <c r="D7419" s="11" t="s">
        <v>4831</v>
      </c>
    </row>
    <row r="7420" spans="1:4" ht="30">
      <c r="A7420" s="5" t="str">
        <f>HYPERLINK("https://www.oit.va.gov/Services/TRM/ToolPage.aspx?tid=7203^","SoundLog")</f>
        <v>SoundLog</v>
      </c>
      <c r="B7420" s="4" t="s">
        <v>7163</v>
      </c>
      <c r="C7420" s="8" t="s">
        <v>5</v>
      </c>
      <c r="D7420" s="11" t="s">
        <v>6936</v>
      </c>
    </row>
    <row r="7421" spans="1:4" ht="30">
      <c r="A7421" s="5" t="str">
        <f>HYPERLINK("https://www.oit.va.gov/Services/TRM/ToolPage.aspx?tid=15747^","The Source Code Control System (SCCS)")</f>
        <v>The Source Code Control System (SCCS)</v>
      </c>
      <c r="B7421" s="4" t="s">
        <v>3576</v>
      </c>
      <c r="C7421" s="8" t="s">
        <v>5</v>
      </c>
      <c r="D7421" s="11" t="s">
        <v>3146</v>
      </c>
    </row>
    <row r="7422" spans="1:4" ht="30">
      <c r="A7422" s="5" t="str">
        <f>HYPERLINK("https://www.oit.va.gov/Services/TRM/ToolPage.aspx?tid=13269^","Pinfo")</f>
        <v>Pinfo</v>
      </c>
      <c r="B7422" s="4" t="s">
        <v>3576</v>
      </c>
      <c r="C7422" s="8" t="s">
        <v>5</v>
      </c>
      <c r="D7422" s="11" t="s">
        <v>3411</v>
      </c>
    </row>
    <row r="7423" spans="1:4" ht="30">
      <c r="A7423" s="5" t="str">
        <f>HYPERLINK("https://www.oit.va.gov/Services/TRM/ToolPage.aspx?tid=7700^","WinDirStat")</f>
        <v>WinDirStat</v>
      </c>
      <c r="B7423" s="4" t="s">
        <v>3576</v>
      </c>
      <c r="C7423" s="8" t="s">
        <v>5</v>
      </c>
      <c r="D7423" s="11" t="s">
        <v>887</v>
      </c>
    </row>
    <row r="7424" spans="1:4" ht="30">
      <c r="A7424" s="5" t="str">
        <f>HYPERLINK("https://www.oit.va.gov/Services/TRM/ToolPage.aspx?tid=14787^","RealTerm: Serial/Transmission Control Protocol (TCP) Terminal")</f>
        <v>RealTerm: Serial/Transmission Control Protocol (TCP) Terminal</v>
      </c>
      <c r="B7424" s="4" t="s">
        <v>3576</v>
      </c>
      <c r="C7424" s="8" t="s">
        <v>5</v>
      </c>
      <c r="D7424" s="11" t="s">
        <v>1300</v>
      </c>
    </row>
    <row r="7425" spans="1:4" ht="30">
      <c r="A7425" s="5" t="str">
        <f>HYPERLINK("https://www.oit.va.gov/Services/TRM/ToolPage.aspx?tid=15774^","Bash Debugger")</f>
        <v>Bash Debugger</v>
      </c>
      <c r="B7425" s="4" t="s">
        <v>3576</v>
      </c>
      <c r="C7425" s="8" t="s">
        <v>5</v>
      </c>
      <c r="D7425" s="11" t="s">
        <v>6329</v>
      </c>
    </row>
    <row r="7426" spans="1:4" ht="30">
      <c r="A7426" s="5" t="str">
        <f>HYPERLINK("https://www.oit.va.gov/Services/TRM/ToolPage.aspx?tid=15690^","Process Hacker")</f>
        <v>Process Hacker</v>
      </c>
      <c r="B7426" s="4" t="s">
        <v>3576</v>
      </c>
      <c r="C7426" s="8" t="s">
        <v>5</v>
      </c>
      <c r="D7426" s="11" t="s">
        <v>7031</v>
      </c>
    </row>
    <row r="7427" spans="1:4" ht="30">
      <c r="A7427" s="5" t="str">
        <f>HYPERLINK("https://www.oit.va.gov/Services/TRM/ToolPage.aspx?tid=8084^","Sudo for Windows")</f>
        <v>Sudo for Windows</v>
      </c>
      <c r="B7427" s="4" t="s">
        <v>3576</v>
      </c>
      <c r="C7427" s="8" t="s">
        <v>5</v>
      </c>
      <c r="D7427" s="11" t="s">
        <v>1512</v>
      </c>
    </row>
    <row r="7428" spans="1:4" ht="30">
      <c r="A7428" s="5" t="str">
        <f>HYPERLINK("https://www.oit.va.gov/Services/TRM/ToolPage.aspx?tid=14179^","Avidemux")</f>
        <v>Avidemux</v>
      </c>
      <c r="B7428" s="4" t="s">
        <v>3576</v>
      </c>
      <c r="C7428" s="8" t="s">
        <v>5</v>
      </c>
      <c r="D7428" s="11" t="s">
        <v>7523</v>
      </c>
    </row>
    <row r="7429" spans="1:4" ht="30">
      <c r="A7429" s="5" t="str">
        <f>HYPERLINK("https://www.oit.va.gov/Services/TRM/ToolPage.aspx?tid=13994^","CompactView")</f>
        <v>CompactView</v>
      </c>
      <c r="B7429" s="4" t="s">
        <v>3576</v>
      </c>
      <c r="C7429" s="8" t="s">
        <v>5</v>
      </c>
      <c r="D7429" s="11" t="s">
        <v>7683</v>
      </c>
    </row>
    <row r="7430" spans="1:4" ht="30">
      <c r="A7430" s="5" t="str">
        <f>HYPERLINK("https://www.oit.va.gov/Services/TRM/ToolPage.aspx?tid=10848^","FFDSHOW Tryouts")</f>
        <v>FFDSHOW Tryouts</v>
      </c>
      <c r="B7430" s="4" t="s">
        <v>3576</v>
      </c>
      <c r="C7430" s="8" t="s">
        <v>5</v>
      </c>
      <c r="D7430" s="11" t="s">
        <v>124</v>
      </c>
    </row>
    <row r="7431" spans="1:4" ht="30">
      <c r="A7431" s="5" t="str">
        <f>HYPERLINK("https://www.oit.va.gov/Services/TRM/ToolPage.aspx?tid=8552^","Incanto")</f>
        <v>Incanto</v>
      </c>
      <c r="B7431" s="4" t="s">
        <v>3576</v>
      </c>
      <c r="C7431" s="8" t="s">
        <v>5</v>
      </c>
      <c r="D7431" s="11" t="s">
        <v>8071</v>
      </c>
    </row>
    <row r="7432" spans="1:4" ht="30">
      <c r="A7432" s="5" t="str">
        <f>HYPERLINK("https://www.oit.va.gov/Services/TRM/ToolPage.aspx?tid=13882^","WinCvs")</f>
        <v>WinCvs</v>
      </c>
      <c r="B7432" s="4" t="s">
        <v>3576</v>
      </c>
      <c r="C7432" s="8" t="s">
        <v>5</v>
      </c>
      <c r="D7432" s="11" t="s">
        <v>8927</v>
      </c>
    </row>
    <row r="7433" spans="1:4" ht="30">
      <c r="A7433" s="5" t="str">
        <f>HYPERLINK("https://www.oit.va.gov/Services/TRM/ToolPage.aspx?tid=7006^","SourceGear Vault")</f>
        <v>SourceGear Vault</v>
      </c>
      <c r="B7433" s="4" t="s">
        <v>3542</v>
      </c>
      <c r="C7433" s="8" t="s">
        <v>5</v>
      </c>
      <c r="D7433" s="11" t="s">
        <v>3543</v>
      </c>
    </row>
    <row r="7434" spans="1:4" ht="30">
      <c r="A7434" s="5" t="str">
        <f>HYPERLINK("https://www.oit.va.gov/Services/TRM/ToolPage.aspx?tid=13069^","DiffMerge")</f>
        <v>DiffMerge</v>
      </c>
      <c r="B7434" s="4" t="s">
        <v>3542</v>
      </c>
      <c r="C7434" s="8" t="s">
        <v>5</v>
      </c>
      <c r="D7434" s="11" t="s">
        <v>3184</v>
      </c>
    </row>
    <row r="7435" spans="1:4" ht="30">
      <c r="A7435" s="5" t="str">
        <f>HYPERLINK("https://www.oit.va.gov/Services/TRM/ToolPage.aspx?tid=14799^","Cornerstone Managed File Transfer (MFT) Server")</f>
        <v>Cornerstone Managed File Transfer (MFT) Server</v>
      </c>
      <c r="B7435" s="4" t="s">
        <v>958</v>
      </c>
      <c r="C7435" s="8" t="s">
        <v>5</v>
      </c>
      <c r="D7435" s="11" t="s">
        <v>959</v>
      </c>
    </row>
    <row r="7436" spans="1:4" ht="30">
      <c r="A7436" s="5" t="str">
        <f>HYPERLINK("https://www.oit.va.gov/Services/TRM/ToolPage.aspx?tid=7641^","Titan File Transfer Protocol (FTP) Server")</f>
        <v>Titan File Transfer Protocol (FTP) Server</v>
      </c>
      <c r="B7436" s="4" t="s">
        <v>958</v>
      </c>
      <c r="C7436" s="8" t="s">
        <v>5</v>
      </c>
      <c r="D7436" s="11" t="s">
        <v>1116</v>
      </c>
    </row>
    <row r="7437" spans="1:4" ht="30">
      <c r="A7437" s="5" t="str">
        <f>HYPERLINK("https://www.oit.va.gov/Services/TRM/ToolPage.aspx?tid=16553^","Titan Secure File Transfer Protocol (SFTP) Server - High Availability (HA)")</f>
        <v>Titan Secure File Transfer Protocol (SFTP) Server - High Availability (HA)</v>
      </c>
      <c r="B7437" s="4" t="s">
        <v>958</v>
      </c>
      <c r="C7437" s="8" t="s">
        <v>5</v>
      </c>
      <c r="D7437" s="11" t="s">
        <v>1117</v>
      </c>
    </row>
    <row r="7438" spans="1:4" ht="30">
      <c r="A7438" s="5" t="str">
        <f>HYPERLINK("https://www.oit.va.gov/Services/TRM/ToolPage.aspx?tid=14182^","WebDrive")</f>
        <v>WebDrive</v>
      </c>
      <c r="B7438" s="4" t="s">
        <v>8915</v>
      </c>
      <c r="C7438" s="8" t="s">
        <v>5</v>
      </c>
      <c r="D7438" s="11" t="s">
        <v>8916</v>
      </c>
    </row>
    <row r="7439" spans="1:4" ht="30">
      <c r="A7439" s="5" t="str">
        <f>HYPERLINK("https://www.oit.va.gov/Services/TRM/ToolPage.aspx?tid=10382^","Intesys Clinical Suite (ICS)")</f>
        <v>Intesys Clinical Suite (ICS)</v>
      </c>
      <c r="B7439" s="4" t="s">
        <v>1659</v>
      </c>
      <c r="C7439" s="8" t="s">
        <v>5</v>
      </c>
      <c r="D7439" s="11" t="s">
        <v>759</v>
      </c>
    </row>
    <row r="7440" spans="1:4" ht="30">
      <c r="A7440" s="5" t="str">
        <f>HYPERLINK("https://www.oit.va.gov/Services/TRM/ToolPage.aspx?tid=11705^","Sentinel Cardiology Information Management System")</f>
        <v>Sentinel Cardiology Information Management System</v>
      </c>
      <c r="B7440" s="4" t="s">
        <v>1659</v>
      </c>
      <c r="C7440" s="8" t="s">
        <v>5</v>
      </c>
      <c r="D7440" s="11" t="s">
        <v>6060</v>
      </c>
    </row>
    <row r="7441" spans="1:4" ht="30">
      <c r="A7441" s="5" t="str">
        <f>HYPERLINK("https://www.oit.va.gov/Services/TRM/ToolPage.aspx?tid=7559^","Ambulatory Blood Pressure Report Management System")</f>
        <v>Ambulatory Blood Pressure Report Management System</v>
      </c>
      <c r="B7441" s="4" t="s">
        <v>1659</v>
      </c>
      <c r="C7441" s="8" t="s">
        <v>5</v>
      </c>
      <c r="D7441" s="11" t="s">
        <v>7436</v>
      </c>
    </row>
    <row r="7442" spans="1:4" ht="30">
      <c r="A7442" s="5" t="str">
        <f>HYPERLINK("https://www.oit.va.gov/Services/TRM/ToolPage.aspx?tid=10911^","Nokogiri")</f>
        <v>Nokogiri</v>
      </c>
      <c r="B7442" s="4" t="s">
        <v>8339</v>
      </c>
      <c r="C7442" s="8" t="s">
        <v>5</v>
      </c>
      <c r="D7442" s="11" t="s">
        <v>8340</v>
      </c>
    </row>
    <row r="7443" spans="1:4" ht="30">
      <c r="A7443" s="5" t="str">
        <f>HYPERLINK("https://www.oit.va.gov/Services/TRM/ToolPage.aspx?tid=10083^","VideoScribe")</f>
        <v>VideoScribe</v>
      </c>
      <c r="B7443" s="4" t="s">
        <v>3062</v>
      </c>
      <c r="C7443" s="8" t="s">
        <v>5</v>
      </c>
      <c r="D7443" s="11" t="s">
        <v>3063</v>
      </c>
    </row>
    <row r="7444" spans="1:4" ht="30">
      <c r="A7444" s="5" t="str">
        <f>HYPERLINK("https://www.oit.va.gov/Services/TRM/ToolPage.aspx?tid=7324^","Sparx Systems Enterprise Architect")</f>
        <v>Sparx Systems Enterprise Architect</v>
      </c>
      <c r="B7444" s="4" t="s">
        <v>2979</v>
      </c>
      <c r="C7444" s="8" t="s">
        <v>5</v>
      </c>
      <c r="D7444" s="11" t="s">
        <v>2980</v>
      </c>
    </row>
    <row r="7445" spans="1:4" ht="30">
      <c r="A7445" s="5" t="str">
        <f>HYPERLINK("https://www.oit.va.gov/Services/TRM/ToolPage.aspx?tid=13561^","Automated Utility Design (AUD)")</f>
        <v>Automated Utility Design (AUD)</v>
      </c>
      <c r="B7445" s="4" t="s">
        <v>2394</v>
      </c>
      <c r="C7445" s="8" t="s">
        <v>5</v>
      </c>
      <c r="D7445" s="11" t="s">
        <v>2395</v>
      </c>
    </row>
    <row r="7446" spans="1:4" ht="30">
      <c r="A7446" s="5" t="str">
        <f>HYPERLINK("https://www.oit.va.gov/Services/TRM/ToolPage.aspx?tid=14122^","Special Uninstaller")</f>
        <v>Special Uninstaller</v>
      </c>
      <c r="B7446" s="4" t="s">
        <v>8702</v>
      </c>
      <c r="C7446" s="8" t="s">
        <v>5</v>
      </c>
      <c r="D7446" s="11" t="s">
        <v>8703</v>
      </c>
    </row>
    <row r="7447" spans="1:4" ht="30">
      <c r="A7447" s="5" t="str">
        <f>HYPERLINK("https://www.oit.va.gov/Services/TRM/ToolPage.aspx?tid=16713^","SpecoGuard CMS")</f>
        <v>SpecoGuard CMS</v>
      </c>
      <c r="B7447" s="4" t="s">
        <v>8704</v>
      </c>
      <c r="C7447" s="8" t="s">
        <v>5</v>
      </c>
      <c r="D7447" s="11" t="s">
        <v>8433</v>
      </c>
    </row>
    <row r="7448" spans="1:4" ht="30">
      <c r="A7448" s="5" t="str">
        <f>HYPERLINK("https://www.oit.va.gov/Services/TRM/ToolPage.aspx?tid=16588^","Spectralink Application Manager (SAM)")</f>
        <v>Spectralink Application Manager (SAM)</v>
      </c>
      <c r="B7448" s="4" t="s">
        <v>6079</v>
      </c>
      <c r="C7448" s="8" t="s">
        <v>5</v>
      </c>
      <c r="D7448" s="11" t="s">
        <v>6080</v>
      </c>
    </row>
    <row r="7449" spans="1:4" ht="30">
      <c r="A7449" s="5" t="str">
        <f>HYPERLINK("https://www.oit.va.gov/Services/TRM/ToolPage.aspx?tid=8343^","Interact-AS")</f>
        <v>Interact-AS</v>
      </c>
      <c r="B7449" s="4" t="s">
        <v>5257</v>
      </c>
      <c r="C7449" s="8" t="s">
        <v>5</v>
      </c>
      <c r="D7449" s="11" t="s">
        <v>5258</v>
      </c>
    </row>
    <row r="7450" spans="1:4" ht="30">
      <c r="A7450" s="5" t="str">
        <f>HYPERLINK("https://www.oit.va.gov/Services/TRM/ToolPage.aspx?tid=9485^","SpeechVive Clinician Software")</f>
        <v>SpeechVive Clinician Software</v>
      </c>
      <c r="B7450" s="4" t="s">
        <v>4835</v>
      </c>
      <c r="C7450" s="8" t="s">
        <v>5</v>
      </c>
      <c r="D7450" s="11" t="s">
        <v>4836</v>
      </c>
    </row>
    <row r="7451" spans="1:4" ht="30">
      <c r="A7451" s="5" t="str">
        <f>HYPERLINK("https://www.oit.va.gov/Services/TRM/ToolPage.aspx?tid=15828^","Spee-Dee Ship")</f>
        <v>Spee-Dee Ship</v>
      </c>
      <c r="B7451" s="4" t="s">
        <v>4837</v>
      </c>
      <c r="C7451" s="8" t="s">
        <v>5</v>
      </c>
      <c r="D7451" s="11" t="s">
        <v>4838</v>
      </c>
    </row>
    <row r="7452" spans="1:4" ht="30">
      <c r="A7452" s="5" t="str">
        <f>HYPERLINK("https://www.oit.va.gov/Services/TRM/ToolPage.aspx?tid=14132^","SpeedyFixer")</f>
        <v>SpeedyFixer</v>
      </c>
      <c r="B7452" s="4" t="s">
        <v>8707</v>
      </c>
      <c r="C7452" s="8" t="s">
        <v>5</v>
      </c>
      <c r="D7452" s="11" t="s">
        <v>8030</v>
      </c>
    </row>
    <row r="7453" spans="1:4" ht="30">
      <c r="A7453" s="5" t="str">
        <f>HYPERLINK("https://www.oit.va.gov/Services/TRM/ToolPage.aspx?tid=7997^","Spellex Medical and Legal Suite")</f>
        <v>Spellex Medical and Legal Suite</v>
      </c>
      <c r="B7453" s="4" t="s">
        <v>8708</v>
      </c>
      <c r="C7453" s="8" t="s">
        <v>5</v>
      </c>
      <c r="D7453" s="11" t="s">
        <v>8709</v>
      </c>
    </row>
    <row r="7454" spans="1:4" ht="30">
      <c r="A7454" s="5" t="str">
        <f>HYPERLINK("https://www.oit.va.gov/Services/TRM/ToolPage.aspx?tid=16859^","Power Rules Manager")</f>
        <v>Power Rules Manager</v>
      </c>
      <c r="B7454" s="4" t="s">
        <v>6004</v>
      </c>
      <c r="C7454" s="8" t="s">
        <v>5</v>
      </c>
      <c r="D7454" s="11" t="s">
        <v>4527</v>
      </c>
    </row>
    <row r="7455" spans="1:4" ht="30">
      <c r="A7455" s="5" t="str">
        <f>HYPERLINK("https://www.oit.va.gov/Services/TRM/ToolPage.aspx?tid=13241^","Attachment Save")</f>
        <v>Attachment Save</v>
      </c>
      <c r="B7455" s="4" t="s">
        <v>6004</v>
      </c>
      <c r="C7455" s="8" t="s">
        <v>5</v>
      </c>
      <c r="D7455" s="11" t="s">
        <v>2415</v>
      </c>
    </row>
    <row r="7456" spans="1:4" ht="30">
      <c r="A7456" s="5" t="str">
        <f>HYPERLINK("https://www.oit.va.gov/Services/TRM/ToolPage.aspx?tid=14181^","Refrigerant Compliance Management")</f>
        <v>Refrigerant Compliance Management</v>
      </c>
      <c r="B7456" s="4" t="s">
        <v>106</v>
      </c>
      <c r="C7456" s="8" t="s">
        <v>5</v>
      </c>
      <c r="D7456" s="11" t="s">
        <v>107</v>
      </c>
    </row>
    <row r="7457" spans="1:4" ht="30">
      <c r="A7457" s="5" t="str">
        <f>HYPERLINK("https://www.oit.va.gov/Services/TRM/ToolPage.aspx?tid=13545^","Elementi")</f>
        <v>Elementi</v>
      </c>
      <c r="B7457" s="4" t="s">
        <v>4079</v>
      </c>
      <c r="C7457" s="8" t="s">
        <v>5</v>
      </c>
      <c r="D7457" s="11" t="s">
        <v>3182</v>
      </c>
    </row>
    <row r="7458" spans="1:4" ht="30">
      <c r="A7458" s="5" t="str">
        <f>HYPERLINK("https://www.oit.va.gov/Services/TRM/ToolPage.aspx?tid=10245^","Medical Data Aggregation And Collection Application (MDACA)")</f>
        <v>Medical Data Aggregation And Collection Application (MDACA)</v>
      </c>
      <c r="B7458" s="4" t="s">
        <v>6844</v>
      </c>
      <c r="C7458" s="8" t="s">
        <v>5</v>
      </c>
      <c r="D7458" s="11" t="s">
        <v>6198</v>
      </c>
    </row>
    <row r="7459" spans="1:4" ht="30">
      <c r="A7459" s="5" t="str">
        <f>HYPERLINK("https://www.oit.va.gov/Services/TRM/ToolPage.aspx?tid=16674^","Splashtop Remote Support")</f>
        <v>Splashtop Remote Support</v>
      </c>
      <c r="B7459" s="4" t="s">
        <v>2188</v>
      </c>
      <c r="C7459" s="8" t="s">
        <v>5</v>
      </c>
      <c r="D7459" s="11" t="s">
        <v>2189</v>
      </c>
    </row>
    <row r="7460" spans="1:4" ht="30">
      <c r="A7460" s="5" t="str">
        <f>HYPERLINK("https://www.oit.va.gov/Services/TRM/ToolPage.aspx?tid=15346^","Splashtop On-Prem")</f>
        <v>Splashtop On-Prem</v>
      </c>
      <c r="B7460" s="4" t="s">
        <v>264</v>
      </c>
      <c r="C7460" s="8" t="s">
        <v>5</v>
      </c>
      <c r="D7460" s="11" t="s">
        <v>265</v>
      </c>
    </row>
    <row r="7461" spans="1:4" ht="30">
      <c r="A7461" s="5" t="str">
        <f>HYPERLINK("https://www.oit.va.gov/Services/TRM/ToolPage.aspx?tid=16162^","System Scheduler")</f>
        <v>System Scheduler</v>
      </c>
      <c r="B7461" s="4" t="s">
        <v>4883</v>
      </c>
      <c r="C7461" s="8" t="s">
        <v>5</v>
      </c>
      <c r="D7461" s="11" t="s">
        <v>4884</v>
      </c>
    </row>
    <row r="7462" spans="1:4" ht="30">
      <c r="A7462" s="5" t="str">
        <f>HYPERLINK("https://www.oit.va.gov/Services/TRM/ToolPage.aspx?tid=14271^","Split View Software")</f>
        <v>Split View Software</v>
      </c>
      <c r="B7462" s="4" t="s">
        <v>8712</v>
      </c>
      <c r="C7462" s="8" t="s">
        <v>5</v>
      </c>
      <c r="D7462" s="11" t="s">
        <v>7459</v>
      </c>
    </row>
    <row r="7463" spans="1:4" ht="30">
      <c r="A7463" s="5" t="str">
        <f>HYPERLINK("https://www.oit.va.gov/Services/TRM/ToolPage.aspx?tid=6615^","Splunk Enterprise")</f>
        <v>Splunk Enterprise</v>
      </c>
      <c r="B7463" s="4" t="s">
        <v>2983</v>
      </c>
      <c r="C7463" s="8" t="s">
        <v>5</v>
      </c>
      <c r="D7463" s="11" t="s">
        <v>2984</v>
      </c>
    </row>
    <row r="7464" spans="1:4" ht="30">
      <c r="A7464" s="5" t="str">
        <f>HYPERLINK("https://www.oit.va.gov/Services/TRM/ToolPage.aspx?tid=8352^","Splunk Enterprise Security")</f>
        <v>Splunk Enterprise Security</v>
      </c>
      <c r="B7464" s="4" t="s">
        <v>2983</v>
      </c>
      <c r="C7464" s="8" t="s">
        <v>5</v>
      </c>
      <c r="D7464" s="11" t="s">
        <v>4839</v>
      </c>
    </row>
    <row r="7465" spans="1:4" ht="30">
      <c r="A7465" s="5" t="str">
        <f>HYPERLINK("https://www.oit.va.gov/Services/TRM/ToolPage.aspx?tid=11473^","Spok Care Connect")</f>
        <v>Spok Care Connect</v>
      </c>
      <c r="B7465" s="4" t="s">
        <v>2985</v>
      </c>
      <c r="C7465" s="8" t="s">
        <v>5</v>
      </c>
      <c r="D7465" s="11" t="s">
        <v>1206</v>
      </c>
    </row>
    <row r="7466" spans="1:4" ht="30">
      <c r="A7466" s="5" t="str">
        <f>HYPERLINK("https://www.oit.va.gov/Services/TRM/ToolPage.aspx?tid=6565^","iLand Messaging Center")</f>
        <v>iLand Messaging Center</v>
      </c>
      <c r="B7466" s="4" t="s">
        <v>2985</v>
      </c>
      <c r="C7466" s="8" t="s">
        <v>5</v>
      </c>
      <c r="D7466" s="11" t="s">
        <v>5242</v>
      </c>
    </row>
    <row r="7467" spans="1:4" ht="30">
      <c r="A7467" s="5" t="str">
        <f>HYPERLINK("https://www.oit.va.gov/Services/TRM/ToolPage.aspx?tid=7675^","Call Center Operator Console")</f>
        <v>Call Center Operator Console</v>
      </c>
      <c r="B7467" s="4" t="s">
        <v>2985</v>
      </c>
      <c r="C7467" s="8" t="s">
        <v>5</v>
      </c>
      <c r="D7467" s="11" t="s">
        <v>1358</v>
      </c>
    </row>
    <row r="7468" spans="1:4" ht="30">
      <c r="A7468" s="5" t="str">
        <f>HYPERLINK("https://www.oit.va.gov/Services/TRM/ToolPage.aspx?tid=11461^","Spok Secure Messaging")</f>
        <v>Spok Secure Messaging</v>
      </c>
      <c r="B7468" s="4" t="s">
        <v>2985</v>
      </c>
      <c r="C7468" s="8" t="s">
        <v>5</v>
      </c>
      <c r="D7468" s="11" t="s">
        <v>3501</v>
      </c>
    </row>
    <row r="7469" spans="1:4" ht="30">
      <c r="A7469" s="5" t="str">
        <f>HYPERLINK("https://www.oit.va.gov/Services/TRM/ToolPage.aspx?tid=10198^","PathSuite")</f>
        <v>PathSuite</v>
      </c>
      <c r="B7469" s="4" t="s">
        <v>5416</v>
      </c>
      <c r="C7469" s="8" t="s">
        <v>5</v>
      </c>
      <c r="D7469" s="11" t="s">
        <v>2830</v>
      </c>
    </row>
    <row r="7470" spans="1:4" ht="30">
      <c r="A7470" s="5" t="str">
        <f>HYPERLINK("https://www.oit.va.gov/Services/TRM/ToolPage.aspx?tid=7621^","SPOT Advanced Software")</f>
        <v>SPOT Advanced Software</v>
      </c>
      <c r="B7470" s="4" t="s">
        <v>5416</v>
      </c>
      <c r="C7470" s="8" t="s">
        <v>5</v>
      </c>
      <c r="D7470" s="11" t="s">
        <v>7171</v>
      </c>
    </row>
    <row r="7471" spans="1:4" ht="30">
      <c r="A7471" s="5" t="str">
        <f>HYPERLINK("https://www.oit.va.gov/Services/TRM/ToolPage.aspx?tid=16832^","Backstage")</f>
        <v>Backstage</v>
      </c>
      <c r="B7471" s="4" t="s">
        <v>1346</v>
      </c>
      <c r="C7471" s="8" t="s">
        <v>5</v>
      </c>
      <c r="D7471" s="11" t="s">
        <v>1347</v>
      </c>
    </row>
    <row r="7472" spans="1:4" ht="30">
      <c r="A7472" s="5" t="str">
        <f>HYPERLINK("https://www.oit.va.gov/Services/TRM/ToolPage.aspx?tid=13137^","Spotify")</f>
        <v>Spotify</v>
      </c>
      <c r="B7472" s="4" t="s">
        <v>1346</v>
      </c>
      <c r="C7472" s="8" t="s">
        <v>5</v>
      </c>
      <c r="D7472" s="11" t="s">
        <v>7172</v>
      </c>
    </row>
    <row r="7473" spans="1:4" ht="30">
      <c r="A7473" s="5" t="str">
        <f>HYPERLINK("https://www.oit.va.gov/Services/TRM/ToolPage.aspx?tid=6294^","Spring Rich Client")</f>
        <v>Spring Rich Client</v>
      </c>
      <c r="B7473" s="4" t="s">
        <v>8714</v>
      </c>
      <c r="C7473" s="8" t="s">
        <v>5</v>
      </c>
      <c r="D7473" s="11" t="s">
        <v>4781</v>
      </c>
    </row>
    <row r="7474" spans="1:4" ht="30">
      <c r="A7474" s="5" t="str">
        <f>HYPERLINK("https://www.oit.va.gov/Services/TRM/ToolPage.aspx?tid=5836^","SpringSource Tool Suite (STS)")</f>
        <v>SpringSource Tool Suite (STS)</v>
      </c>
      <c r="B7474" s="4" t="s">
        <v>8714</v>
      </c>
      <c r="C7474" s="8" t="s">
        <v>5</v>
      </c>
      <c r="D7474" s="11" t="s">
        <v>8182</v>
      </c>
    </row>
    <row r="7475" spans="1:4" ht="30">
      <c r="A7475" s="5" t="str">
        <f>HYPERLINK("https://www.oit.va.gov/Services/TRM/ToolPage.aspx?tid=5728^","Sprint SmartView")</f>
        <v>Sprint SmartView</v>
      </c>
      <c r="B7475" s="4" t="s">
        <v>8716</v>
      </c>
      <c r="C7475" s="8" t="s">
        <v>5</v>
      </c>
      <c r="D7475" s="11" t="s">
        <v>6438</v>
      </c>
    </row>
    <row r="7476" spans="1:4" ht="30">
      <c r="A7476" s="5" t="str">
        <f>HYPERLINK("https://www.oit.va.gov/Services/TRM/ToolPage.aspx?tid=8237^","Spyder")</f>
        <v>Spyder</v>
      </c>
      <c r="B7476" s="4" t="s">
        <v>2190</v>
      </c>
      <c r="C7476" s="8" t="s">
        <v>5</v>
      </c>
      <c r="D7476" s="11" t="s">
        <v>1964</v>
      </c>
    </row>
    <row r="7477" spans="1:4" ht="30">
      <c r="A7477" s="5" t="str">
        <f>HYPERLINK("https://www.oit.va.gov/Services/TRM/ToolPage.aspx?tid=13791^","Sqitch")</f>
        <v>Sqitch</v>
      </c>
      <c r="B7477" s="4" t="s">
        <v>4843</v>
      </c>
      <c r="C7477" s="8" t="s">
        <v>5</v>
      </c>
      <c r="D7477" s="11" t="s">
        <v>4844</v>
      </c>
    </row>
    <row r="7478" spans="1:4" ht="30">
      <c r="A7478" s="5" t="str">
        <f>HYPERLINK("https://www.oit.va.gov/Services/TRM/ToolPage.aspx?tid=15364^","Structured Query Language (SQL) Workbench/j")</f>
        <v>Structured Query Language (SQL) Workbench/j</v>
      </c>
      <c r="B7478" s="4" t="s">
        <v>7188</v>
      </c>
      <c r="C7478" s="8" t="s">
        <v>5</v>
      </c>
      <c r="D7478" s="11" t="s">
        <v>7189</v>
      </c>
    </row>
    <row r="7479" spans="1:4" ht="30">
      <c r="A7479" s="5" t="str">
        <f>HYPERLINK("https://www.oit.va.gov/Services/TRM/ToolPage.aspx?tid=16064^","Bravo")</f>
        <v>Bravo</v>
      </c>
      <c r="B7479" s="4" t="s">
        <v>6362</v>
      </c>
      <c r="C7479" s="8" t="s">
        <v>5</v>
      </c>
      <c r="D7479" s="11" t="s">
        <v>6363</v>
      </c>
    </row>
    <row r="7480" spans="1:4" ht="30">
      <c r="A7480" s="5" t="str">
        <f>HYPERLINK("https://www.oit.va.gov/Services/TRM/ToolPage.aspx?tid=6406^","SQLite")</f>
        <v>SQLite</v>
      </c>
      <c r="B7480" s="4" t="s">
        <v>2988</v>
      </c>
      <c r="C7480" s="8" t="s">
        <v>5</v>
      </c>
      <c r="D7480" s="11" t="s">
        <v>2575</v>
      </c>
    </row>
    <row r="7481" spans="1:4" ht="30">
      <c r="A7481" s="5" t="str">
        <f>HYPERLINK("https://www.oit.va.gov/Services/TRM/ToolPage.aspx?tid=13717^","Structured Query Language Lite (SQLite) Expert")</f>
        <v>Structured Query Language Lite (SQLite) Expert</v>
      </c>
      <c r="B7481" s="4" t="s">
        <v>8745</v>
      </c>
      <c r="C7481" s="8" t="s">
        <v>5</v>
      </c>
      <c r="D7481" s="11" t="s">
        <v>8746</v>
      </c>
    </row>
    <row r="7482" spans="1:4" ht="30">
      <c r="A7482" s="5" t="str">
        <f>HYPERLINK("https://www.oit.va.gov/Services/TRM/ToolPage.aspx?tid=8800^","Database (DB) Browser for SQLite (DB4S)")</f>
        <v>Database (DB) Browser for SQLite (DB4S)</v>
      </c>
      <c r="B7482" s="4" t="s">
        <v>5130</v>
      </c>
      <c r="C7482" s="8" t="s">
        <v>5</v>
      </c>
      <c r="D7482" s="11" t="s">
        <v>2397</v>
      </c>
    </row>
    <row r="7483" spans="1:4" ht="30">
      <c r="A7483" s="5" t="str">
        <f>HYPERLINK("https://www.oit.va.gov/Services/TRM/ToolPage.aspx?tid=15947^","SquaredUp Azure Edition")</f>
        <v>SquaredUp Azure Edition</v>
      </c>
      <c r="B7483" s="4" t="s">
        <v>4848</v>
      </c>
      <c r="C7483" s="8" t="s">
        <v>5</v>
      </c>
      <c r="D7483" s="11" t="s">
        <v>3549</v>
      </c>
    </row>
    <row r="7484" spans="1:4" ht="30">
      <c r="A7484" s="5" t="str">
        <f>HYPERLINK("https://www.oit.va.gov/Services/TRM/ToolPage.aspx?tid=15540^","SquaredUp for System Center Operations Manager (SCOM)")</f>
        <v>SquaredUp for System Center Operations Manager (SCOM)</v>
      </c>
      <c r="B7484" s="4" t="s">
        <v>4848</v>
      </c>
      <c r="C7484" s="8" t="s">
        <v>5</v>
      </c>
      <c r="D7484" s="11" t="s">
        <v>4437</v>
      </c>
    </row>
    <row r="7485" spans="1:4" ht="30">
      <c r="A7485" s="5" t="str">
        <f>HYPERLINK("https://www.oit.va.gov/Services/TRM/ToolPage.aspx?tid=15252^","SprintRay Pro Three-Dimensional (3D) Printer and RayWare Software")</f>
        <v>SprintRay Pro Three-Dimensional (3D) Printer and RayWare Software</v>
      </c>
      <c r="B7485" s="4" t="s">
        <v>5520</v>
      </c>
      <c r="C7485" s="8" t="s">
        <v>5</v>
      </c>
      <c r="D7485" s="11" t="s">
        <v>5521</v>
      </c>
    </row>
    <row r="7486" spans="1:4" ht="30">
      <c r="A7486" s="5" t="str">
        <f>HYPERLINK("https://www.oit.va.gov/Services/TRM/ToolPage.aspx?tid=6674^","Reflector")</f>
        <v>Reflector</v>
      </c>
      <c r="B7486" s="4" t="s">
        <v>5520</v>
      </c>
      <c r="C7486" s="8" t="s">
        <v>5</v>
      </c>
      <c r="D7486" s="11" t="s">
        <v>5518</v>
      </c>
    </row>
    <row r="7487" spans="1:4" ht="30">
      <c r="A7487" s="5" t="str">
        <f>HYPERLINK("https://www.oit.va.gov/Services/TRM/ToolPage.aspx?tid=16750^","Blue Prism Hub")</f>
        <v>Blue Prism Hub</v>
      </c>
      <c r="B7487" s="4" t="s">
        <v>1370</v>
      </c>
      <c r="C7487" s="8" t="s">
        <v>5</v>
      </c>
      <c r="D7487" s="11" t="s">
        <v>1371</v>
      </c>
    </row>
    <row r="7488" spans="1:4" ht="30">
      <c r="A7488" s="5" t="str">
        <f>HYPERLINK("https://www.oit.va.gov/Services/TRM/ToolPage.aspx?tid=16132^","Blue Prism Browser Automation Agent")</f>
        <v>Blue Prism Browser Automation Agent</v>
      </c>
      <c r="B7488" s="4" t="s">
        <v>1370</v>
      </c>
      <c r="C7488" s="8" t="s">
        <v>5</v>
      </c>
      <c r="D7488" s="11" t="s">
        <v>3842</v>
      </c>
    </row>
    <row r="7489" spans="1:4" ht="30">
      <c r="A7489" s="5" t="str">
        <f>HYPERLINK("https://www.oit.va.gov/Services/TRM/ToolPage.aspx?tid=16444^","Blue Prism Capture")</f>
        <v>Blue Prism Capture</v>
      </c>
      <c r="B7489" s="4" t="s">
        <v>1370</v>
      </c>
      <c r="C7489" s="8" t="s">
        <v>5</v>
      </c>
      <c r="D7489" s="11" t="s">
        <v>3843</v>
      </c>
    </row>
    <row r="7490" spans="1:4" ht="30">
      <c r="A7490" s="5" t="str">
        <f>HYPERLINK("https://www.oit.va.gov/Services/TRM/ToolPage.aspx?tid=16105^","Blue Prism Manifest v3 Impact Assessment Utility")</f>
        <v>Blue Prism Manifest v3 Impact Assessment Utility</v>
      </c>
      <c r="B7490" s="4" t="s">
        <v>1370</v>
      </c>
      <c r="C7490" s="8" t="s">
        <v>5</v>
      </c>
      <c r="D7490" s="11" t="s">
        <v>3861</v>
      </c>
    </row>
    <row r="7491" spans="1:4" ht="30">
      <c r="A7491" s="5" t="str">
        <f>HYPERLINK("https://www.oit.va.gov/Services/TRM/ToolPage.aspx?tid=6938^","Tectia Secure Shell (SSH) Client/Server")</f>
        <v>Tectia Secure Shell (SSH) Client/Server</v>
      </c>
      <c r="B7491" s="4" t="s">
        <v>1989</v>
      </c>
      <c r="C7491" s="8" t="s">
        <v>5</v>
      </c>
      <c r="D7491" s="11" t="s">
        <v>1990</v>
      </c>
    </row>
    <row r="7492" spans="1:4" ht="30">
      <c r="A7492" s="5" t="str">
        <f>HYPERLINK("https://www.oit.va.gov/Services/TRM/ToolPage.aspx?tid=16497^","Structured Solutions Inc (SSI) Risk Analysis")</f>
        <v>Structured Solutions Inc (SSI) Risk Analysis</v>
      </c>
      <c r="B7492" s="4" t="s">
        <v>4870</v>
      </c>
      <c r="C7492" s="8" t="s">
        <v>5</v>
      </c>
      <c r="D7492" s="11" t="s">
        <v>4871</v>
      </c>
    </row>
    <row r="7493" spans="1:4" ht="30">
      <c r="A7493" s="5" t="str">
        <f>HYPERLINK("https://www.oit.va.gov/Services/TRM/ToolPage.aspx?tid=15649^","Digital Imaging and Communications in Medicine (DICOM DMC - EZ)")</f>
        <v>Digital Imaging and Communications in Medicine (DICOM DMC - EZ)</v>
      </c>
      <c r="B7493" s="4" t="s">
        <v>5762</v>
      </c>
      <c r="C7493" s="8" t="s">
        <v>5</v>
      </c>
      <c r="D7493" s="11" t="s">
        <v>5763</v>
      </c>
    </row>
    <row r="7494" spans="1:4" ht="30">
      <c r="A7494" s="5" t="str">
        <f>HYPERLINK("https://www.oit.va.gov/Services/TRM/ToolPage.aspx?tid=14070^","DMC-EZ Digital Imaging and Communications in Medicine (DICOM) Media Importer")</f>
        <v>DMC-EZ Digital Imaging and Communications in Medicine (DICOM) Media Importer</v>
      </c>
      <c r="B7494" s="4" t="s">
        <v>5762</v>
      </c>
      <c r="C7494" s="8" t="s">
        <v>5</v>
      </c>
      <c r="D7494" s="11" t="s">
        <v>353</v>
      </c>
    </row>
    <row r="7495" spans="1:4" ht="30">
      <c r="A7495" s="5" t="str">
        <f>HYPERLINK("https://www.oit.va.gov/Services/TRM/ToolPage.aspx?tid=15516^","ViewScan 4")</f>
        <v>ViewScan 4</v>
      </c>
      <c r="B7495" s="4" t="s">
        <v>6141</v>
      </c>
      <c r="C7495" s="8" t="s">
        <v>5</v>
      </c>
      <c r="D7495" s="11" t="s">
        <v>6142</v>
      </c>
    </row>
    <row r="7496" spans="1:4" ht="30">
      <c r="A7496" s="5" t="str">
        <f>HYPERLINK("https://www.oit.va.gov/Services/TRM/ToolPage.aspx?tid=10501^","ST ViewScan III Premium")</f>
        <v>ST ViewScan III Premium</v>
      </c>
      <c r="B7496" s="4" t="s">
        <v>6141</v>
      </c>
      <c r="C7496" s="8" t="s">
        <v>5</v>
      </c>
      <c r="D7496" s="11" t="s">
        <v>8711</v>
      </c>
    </row>
    <row r="7497" spans="1:4" ht="30">
      <c r="A7497" s="5" t="str">
        <f>HYPERLINK("https://www.oit.va.gov/Services/TRM/ToolPage.aspx?tid=14203^","Staffbase")</f>
        <v>Staffbase</v>
      </c>
      <c r="B7497" s="4" t="s">
        <v>7179</v>
      </c>
      <c r="C7497" s="8" t="s">
        <v>5</v>
      </c>
      <c r="D7497" s="11" t="s">
        <v>7180</v>
      </c>
    </row>
    <row r="7498" spans="1:4" ht="30">
      <c r="A7498" s="5" t="str">
        <f>HYPERLINK("https://www.oit.va.gov/Services/TRM/ToolPage.aspx?tid=15488^","Connect.One")</f>
        <v>Connect.One</v>
      </c>
      <c r="B7498" s="4" t="s">
        <v>499</v>
      </c>
      <c r="C7498" s="8" t="s">
        <v>5</v>
      </c>
      <c r="D7498" s="11" t="s">
        <v>500</v>
      </c>
    </row>
    <row r="7499" spans="1:4" ht="30">
      <c r="A7499" s="5" t="str">
        <f>HYPERLINK("https://www.oit.va.gov/Services/TRM/ToolPage.aspx?tid=15499^","STA Coag Expert")</f>
        <v>STA Coag Expert</v>
      </c>
      <c r="B7499" s="4" t="s">
        <v>499</v>
      </c>
      <c r="C7499" s="8" t="s">
        <v>5</v>
      </c>
      <c r="D7499" s="11" t="s">
        <v>4854</v>
      </c>
    </row>
    <row r="7500" spans="1:4" ht="30">
      <c r="A7500" s="5" t="str">
        <f>HYPERLINK("https://www.oit.va.gov/Services/TRM/ToolPage.aspx?tid=15529^","CopTrax Command and Control Dashboard")</f>
        <v>CopTrax Command and Control Dashboard</v>
      </c>
      <c r="B7500" s="4" t="s">
        <v>3974</v>
      </c>
      <c r="C7500" s="8" t="s">
        <v>5</v>
      </c>
      <c r="D7500" s="11" t="s">
        <v>1456</v>
      </c>
    </row>
    <row r="7501" spans="1:4" ht="30">
      <c r="A7501" s="5" t="str">
        <f>HYPERLINK("https://www.oit.va.gov/Services/TRM/ToolPage.aspx?tid=10984^","Stamps.com")</f>
        <v>Stamps.com</v>
      </c>
      <c r="B7501" s="4" t="s">
        <v>52</v>
      </c>
      <c r="C7501" s="8" t="s">
        <v>5</v>
      </c>
      <c r="D7501" s="11" t="s">
        <v>53</v>
      </c>
    </row>
    <row r="7502" spans="1:4" ht="30">
      <c r="A7502" s="5" t="str">
        <f>HYPERLINK("https://www.oit.va.gov/Services/TRM/ToolPage.aspx?tid=15765^","Stancil")</f>
        <v>Stancil</v>
      </c>
      <c r="B7502" s="4" t="s">
        <v>3555</v>
      </c>
      <c r="C7502" s="8" t="s">
        <v>5</v>
      </c>
      <c r="D7502" s="11" t="s">
        <v>800</v>
      </c>
    </row>
    <row r="7503" spans="1:4" ht="30">
      <c r="A7503" s="5" t="str">
        <f>HYPERLINK("https://www.oit.va.gov/Services/TRM/ToolPage.aspx?tid=16432^","PIPSpro")</f>
        <v>PIPSpro</v>
      </c>
      <c r="B7503" s="4" t="s">
        <v>1841</v>
      </c>
      <c r="C7503" s="8" t="s">
        <v>5</v>
      </c>
      <c r="D7503" s="11" t="s">
        <v>1842</v>
      </c>
    </row>
    <row r="7504" spans="1:4" ht="30">
      <c r="A7504" s="5" t="str">
        <f>HYPERLINK("https://www.oit.va.gov/Services/TRM/ToolPage.aspx?tid=6773^","Protege")</f>
        <v>Protege</v>
      </c>
      <c r="B7504" s="4" t="s">
        <v>2881</v>
      </c>
      <c r="C7504" s="8" t="s">
        <v>5</v>
      </c>
      <c r="D7504" s="11" t="s">
        <v>2882</v>
      </c>
    </row>
    <row r="7505" spans="1:4" ht="30">
      <c r="A7505" s="5" t="str">
        <f>HYPERLINK("https://www.oit.va.gov/Services/TRM/ToolPage.aspx?tid=8653^","Collaborative Health Outcomes Information Registry (CHOIR)")</f>
        <v>Collaborative Health Outcomes Information Registry (CHOIR)</v>
      </c>
      <c r="B7505" s="4" t="s">
        <v>5723</v>
      </c>
      <c r="C7505" s="8" t="s">
        <v>5</v>
      </c>
      <c r="D7505" s="11" t="s">
        <v>5724</v>
      </c>
    </row>
    <row r="7506" spans="1:4" ht="30">
      <c r="A7506" s="5" t="str">
        <f>HYPERLINK("https://www.oit.va.gov/Services/TRM/ToolPage.aspx?tid=8434^","Stanford Core Natural Language Processing (NLP)")</f>
        <v>Stanford Core Natural Language Processing (NLP)</v>
      </c>
      <c r="B7506" s="4" t="s">
        <v>3129</v>
      </c>
      <c r="C7506" s="8" t="s">
        <v>5</v>
      </c>
      <c r="D7506" s="11" t="s">
        <v>3130</v>
      </c>
    </row>
    <row r="7507" spans="1:4" ht="30">
      <c r="A7507" s="5" t="str">
        <f>HYPERLINK("https://www.oit.va.gov/Services/TRM/ToolPage.aspx?tid=16508^","Cardinal Key")</f>
        <v>Cardinal Key</v>
      </c>
      <c r="B7507" s="4" t="s">
        <v>3885</v>
      </c>
      <c r="C7507" s="8" t="s">
        <v>5</v>
      </c>
      <c r="D7507" s="11" t="s">
        <v>3886</v>
      </c>
    </row>
    <row r="7508" spans="1:4" ht="30">
      <c r="A7508" s="5" t="str">
        <f>HYPERLINK("https://www.oit.va.gov/Services/TRM/ToolPage.aspx?tid=8120^","National Center for Biomedical Ontology (NCBO) Annotator")</f>
        <v>National Center for Biomedical Ontology (NCBO) Annotator</v>
      </c>
      <c r="B7508" s="4" t="s">
        <v>3885</v>
      </c>
      <c r="C7508" s="8" t="s">
        <v>5</v>
      </c>
      <c r="D7508" s="11" t="s">
        <v>6810</v>
      </c>
    </row>
    <row r="7509" spans="1:4" ht="30">
      <c r="A7509" s="5" t="str">
        <f>HYPERLINK("https://www.oit.va.gov/Services/TRM/ToolPage.aspx?tid=14114^","Arial")</f>
        <v>Arial</v>
      </c>
      <c r="B7509" s="4" t="s">
        <v>5651</v>
      </c>
      <c r="C7509" s="8" t="s">
        <v>5</v>
      </c>
      <c r="D7509" s="11" t="s">
        <v>5652</v>
      </c>
    </row>
    <row r="7510" spans="1:4" ht="30">
      <c r="A7510" s="5" t="str">
        <f>HYPERLINK("https://www.oit.va.gov/Services/TRM/ToolPage.aspx?tid=16346^","WanderGuard Blue (WGB) Wander Management Solution")</f>
        <v>WanderGuard Blue (WGB) Wander Management Solution</v>
      </c>
      <c r="B7510" s="4" t="s">
        <v>5651</v>
      </c>
      <c r="C7510" s="8" t="s">
        <v>5</v>
      </c>
      <c r="D7510" s="11" t="s">
        <v>5847</v>
      </c>
    </row>
    <row r="7511" spans="1:4" ht="30">
      <c r="A7511" s="5" t="str">
        <f>HYPERLINK("https://www.oit.va.gov/Services/TRM/ToolPage.aspx?tid=16399^","Starburst Enterprise")</f>
        <v>Starburst Enterprise</v>
      </c>
      <c r="B7511" s="4" t="s">
        <v>2989</v>
      </c>
      <c r="C7511" s="8" t="s">
        <v>5</v>
      </c>
      <c r="D7511" s="11" t="s">
        <v>2990</v>
      </c>
    </row>
    <row r="7512" spans="1:4" ht="30">
      <c r="A7512" s="5" t="str">
        <f>HYPERLINK("https://www.oit.va.gov/Services/TRM/ToolPage.aspx?tid=14442^","Fences")</f>
        <v>Fences</v>
      </c>
      <c r="B7512" s="4" t="s">
        <v>4128</v>
      </c>
      <c r="C7512" s="8" t="s">
        <v>5</v>
      </c>
      <c r="D7512" s="11" t="s">
        <v>41</v>
      </c>
    </row>
    <row r="7513" spans="1:4" ht="30">
      <c r="A7513" s="5" t="str">
        <f>HYPERLINK("https://www.oit.va.gov/Services/TRM/ToolPage.aspx?tid=5630^","Inspire X")</f>
        <v>Inspire X</v>
      </c>
      <c r="B7513" s="4" t="s">
        <v>1632</v>
      </c>
      <c r="C7513" s="8" t="s">
        <v>5</v>
      </c>
      <c r="D7513" s="11" t="s">
        <v>1633</v>
      </c>
    </row>
    <row r="7514" spans="1:4" ht="30">
      <c r="A7514" s="5" t="str">
        <f>HYPERLINK("https://www.oit.va.gov/Services/TRM/ToolPage.aspx?tid=16330^","Starkey Pro Fit")</f>
        <v>Starkey Pro Fit</v>
      </c>
      <c r="B7514" s="4" t="s">
        <v>1632</v>
      </c>
      <c r="C7514" s="8" t="s">
        <v>5</v>
      </c>
      <c r="D7514" s="11" t="s">
        <v>1956</v>
      </c>
    </row>
    <row r="7515" spans="1:4" ht="30">
      <c r="A7515" s="5" t="str">
        <f>HYPERLINK("https://www.oit.va.gov/Services/TRM/ToolPage.aspx?tid=11701^","MouseOx Plus")</f>
        <v>MouseOx Plus</v>
      </c>
      <c r="B7515" s="4" t="s">
        <v>312</v>
      </c>
      <c r="C7515" s="8" t="s">
        <v>5</v>
      </c>
      <c r="D7515" s="11" t="s">
        <v>313</v>
      </c>
    </row>
    <row r="7516" spans="1:4" ht="30">
      <c r="A7516" s="5" t="str">
        <f>HYPERLINK("https://www.oit.va.gov/Services/TRM/ToolPage.aspx?tid=15354^","StreamCatcher")</f>
        <v>StreamCatcher</v>
      </c>
      <c r="B7516" s="4" t="s">
        <v>1960</v>
      </c>
      <c r="C7516" s="8" t="s">
        <v>5</v>
      </c>
      <c r="D7516" s="11" t="s">
        <v>1961</v>
      </c>
    </row>
    <row r="7517" spans="1:4" ht="30">
      <c r="A7517" s="5" t="str">
        <f>HYPERLINK("https://www.oit.va.gov/Services/TRM/ToolPage.aspx?tid=7037^","Digital Hands-Free II Recording Software")</f>
        <v>Digital Hands-Free II Recording Software</v>
      </c>
      <c r="B7517" s="4" t="s">
        <v>6510</v>
      </c>
      <c r="C7517" s="8" t="s">
        <v>5</v>
      </c>
      <c r="D7517" s="11" t="s">
        <v>6511</v>
      </c>
    </row>
    <row r="7518" spans="1:4" ht="30">
      <c r="A7518" s="5" t="str">
        <f>HYPERLINK("https://www.oit.va.gov/Services/TRM/ToolPage.aspx?tid=6148^","Stata")</f>
        <v>Stata</v>
      </c>
      <c r="B7518" s="4" t="s">
        <v>3556</v>
      </c>
      <c r="C7518" s="8" t="s">
        <v>5</v>
      </c>
      <c r="D7518" s="11" t="s">
        <v>3557</v>
      </c>
    </row>
    <row r="7519" spans="1:4" ht="30">
      <c r="A7519" s="5" t="str">
        <f>HYPERLINK("https://www.oit.va.gov/Services/TRM/ToolPage.aspx?tid=7561^","Latent GOLD")</f>
        <v>Latent GOLD</v>
      </c>
      <c r="B7519" s="4" t="s">
        <v>91</v>
      </c>
      <c r="C7519" s="8" t="s">
        <v>5</v>
      </c>
      <c r="D7519" s="11" t="s">
        <v>92</v>
      </c>
    </row>
    <row r="7520" spans="1:4" ht="30">
      <c r="A7520" s="5" t="str">
        <f>HYPERLINK("https://www.oit.va.gov/Services/TRM/ToolPage.aspx?tid=7806^","CORExpress")</f>
        <v>CORExpress</v>
      </c>
      <c r="B7520" s="4" t="s">
        <v>91</v>
      </c>
      <c r="C7520" s="8" t="s">
        <v>5</v>
      </c>
      <c r="D7520" s="11" t="s">
        <v>386</v>
      </c>
    </row>
    <row r="7521" spans="1:4" ht="30">
      <c r="A7521" s="5" t="str">
        <f>HYPERLINK("https://www.oit.va.gov/Services/TRM/ToolPage.aspx?tid=7220^","Blaise")</f>
        <v>Blaise</v>
      </c>
      <c r="B7521" s="4" t="s">
        <v>3838</v>
      </c>
      <c r="C7521" s="8" t="s">
        <v>5</v>
      </c>
      <c r="D7521" s="11" t="s">
        <v>3839</v>
      </c>
    </row>
    <row r="7522" spans="1:4" ht="30">
      <c r="A7522" s="5" t="str">
        <f>HYPERLINK("https://www.oit.va.gov/Services/TRM/ToolPage.aspx?tid=7698^","Statgraphics Centurion")</f>
        <v>Statgraphics Centurion</v>
      </c>
      <c r="B7522" s="4" t="s">
        <v>1211</v>
      </c>
      <c r="C7522" s="8" t="s">
        <v>5</v>
      </c>
      <c r="D7522" s="11" t="s">
        <v>1212</v>
      </c>
    </row>
    <row r="7523" spans="1:4" ht="30">
      <c r="A7523" s="5" t="str">
        <f>HYPERLINK("https://www.oit.va.gov/Services/TRM/ToolPage.aspx?tid=7217^","nQuery")</f>
        <v>nQuery</v>
      </c>
      <c r="B7523" s="4" t="s">
        <v>785</v>
      </c>
      <c r="C7523" s="8" t="s">
        <v>5</v>
      </c>
      <c r="D7523" s="11" t="s">
        <v>786</v>
      </c>
    </row>
    <row r="7524" spans="1:4" ht="30">
      <c r="A7524" s="5" t="str">
        <f>HYPERLINK("https://www.oit.va.gov/Services/TRM/ToolPage.aspx?tid=11407^","SteadyMouse")</f>
        <v>SteadyMouse</v>
      </c>
      <c r="B7524" s="4" t="s">
        <v>4853</v>
      </c>
      <c r="C7524" s="8" t="s">
        <v>5</v>
      </c>
      <c r="D7524" s="11" t="s">
        <v>1970</v>
      </c>
    </row>
    <row r="7525" spans="1:4" ht="30">
      <c r="A7525" s="5" t="str">
        <f>HYPERLINK("https://www.oit.va.gov/Services/TRM/ToolPage.aspx?tid=8146^","Eno Classic Software")</f>
        <v>Eno Classic Software</v>
      </c>
      <c r="B7525" s="4" t="s">
        <v>3276</v>
      </c>
      <c r="C7525" s="8" t="s">
        <v>5</v>
      </c>
      <c r="D7525" s="11" t="s">
        <v>3277</v>
      </c>
    </row>
    <row r="7526" spans="1:4" ht="30">
      <c r="A7526" s="5" t="str">
        <f>HYPERLINK("https://www.oit.va.gov/Services/TRM/ToolPage.aspx?tid=16347^","SteelSeries Gaming Gear (GG)")</f>
        <v>SteelSeries Gaming Gear (GG)</v>
      </c>
      <c r="B7526" s="4" t="s">
        <v>4855</v>
      </c>
      <c r="C7526" s="8" t="s">
        <v>5</v>
      </c>
      <c r="D7526" s="11" t="s">
        <v>59</v>
      </c>
    </row>
    <row r="7527" spans="1:4" ht="30">
      <c r="A7527" s="5" t="str">
        <f>HYPERLINK("https://www.oit.va.gov/Services/TRM/ToolPage.aspx?tid=13121^","TeeChart Visual Component Library (VCL) / FireMonkey (FMX)")</f>
        <v>TeeChart Visual Component Library (VCL) / FireMonkey (FMX)</v>
      </c>
      <c r="B7527" s="4" t="s">
        <v>4895</v>
      </c>
      <c r="C7527" s="8" t="s">
        <v>5</v>
      </c>
      <c r="D7527" s="11" t="s">
        <v>2452</v>
      </c>
    </row>
    <row r="7528" spans="1:4" ht="30">
      <c r="A7528" s="5" t="str">
        <f>HYPERLINK("https://www.oit.va.gov/Services/TRM/ToolPage.aspx?tid=6678^","Tortoise Subversion (SVN)")</f>
        <v>Tortoise Subversion (SVN)</v>
      </c>
      <c r="B7528" s="4" t="s">
        <v>3028</v>
      </c>
      <c r="C7528" s="8" t="s">
        <v>5</v>
      </c>
      <c r="D7528" s="11" t="s">
        <v>3029</v>
      </c>
    </row>
    <row r="7529" spans="1:4" ht="30">
      <c r="A7529" s="5" t="str">
        <f>HYPERLINK("https://www.oit.va.gov/Services/TRM/ToolPage.aspx?tid=6564^","grepWin")</f>
        <v>grepWin</v>
      </c>
      <c r="B7529" s="4" t="s">
        <v>3028</v>
      </c>
      <c r="C7529" s="8" t="s">
        <v>5</v>
      </c>
      <c r="D7529" s="11" t="s">
        <v>2217</v>
      </c>
    </row>
    <row r="7530" spans="1:4" ht="30">
      <c r="A7530" s="5" t="str">
        <f>HYPERLINK("https://www.oit.va.gov/Services/TRM/ToolPage.aspx?tid=7512^","Cubase")</f>
        <v>Cubase</v>
      </c>
      <c r="B7530" s="4" t="s">
        <v>6472</v>
      </c>
      <c r="C7530" s="8" t="s">
        <v>5</v>
      </c>
      <c r="D7530" s="11" t="s">
        <v>3168</v>
      </c>
    </row>
    <row r="7531" spans="1:4" ht="30">
      <c r="A7531" s="5" t="str">
        <f>HYPERLINK("https://www.oit.va.gov/Services/TRM/ToolPage.aspx?tid=16485^","Stellar Repair for Outlook")</f>
        <v>Stellar Repair for Outlook</v>
      </c>
      <c r="B7531" s="4" t="s">
        <v>4856</v>
      </c>
      <c r="C7531" s="8" t="s">
        <v>5</v>
      </c>
      <c r="D7531" s="11" t="s">
        <v>4120</v>
      </c>
    </row>
    <row r="7532" spans="1:4" ht="30">
      <c r="A7532" s="5" t="str">
        <f>HYPERLINK("https://www.oit.va.gov/Services/TRM/ToolPage.aspx?tid=16273^","STEMSOFT LAB")</f>
        <v>STEMSOFT LAB</v>
      </c>
      <c r="B7532" s="4" t="s">
        <v>4857</v>
      </c>
      <c r="C7532" s="8" t="s">
        <v>5</v>
      </c>
      <c r="D7532" s="11" t="s">
        <v>4858</v>
      </c>
    </row>
    <row r="7533" spans="1:4" ht="30">
      <c r="A7533" s="5" t="str">
        <f>HYPERLINK("https://www.oit.va.gov/Services/TRM/ToolPage.aspx?tid=16103^","Stepwise")</f>
        <v>Stepwise</v>
      </c>
      <c r="B7533" s="4" t="s">
        <v>8735</v>
      </c>
      <c r="C7533" s="8" t="s">
        <v>5</v>
      </c>
      <c r="D7533" s="11" t="s">
        <v>8736</v>
      </c>
    </row>
    <row r="7534" spans="1:4" ht="30">
      <c r="A7534" s="5" t="str">
        <f>HYPERLINK("https://www.oit.va.gov/Services/TRM/ToolPage.aspx?tid=15818^","Advantage Plus Reprocessor LIO Software")</f>
        <v>Advantage Plus Reprocessor LIO Software</v>
      </c>
      <c r="B7534" s="4" t="s">
        <v>554</v>
      </c>
      <c r="C7534" s="8" t="s">
        <v>5</v>
      </c>
      <c r="D7534" s="11" t="s">
        <v>555</v>
      </c>
    </row>
    <row r="7535" spans="1:4" ht="30">
      <c r="A7535" s="5" t="str">
        <f>HYPERLINK("https://www.oit.va.gov/Services/TRM/ToolPage.aspx?tid=15505^","ConnectAssure Technology")</f>
        <v>ConnectAssure Technology</v>
      </c>
      <c r="B7535" s="4" t="s">
        <v>554</v>
      </c>
      <c r="C7535" s="8" t="s">
        <v>5</v>
      </c>
      <c r="D7535" s="11" t="s">
        <v>5730</v>
      </c>
    </row>
    <row r="7536" spans="1:4" ht="30">
      <c r="A7536" s="5" t="str">
        <f>HYPERLINK("https://www.oit.va.gov/Services/TRM/ToolPage.aspx?tid=10228^","CS-iQ Sterile Processing Workflow Management Software")</f>
        <v>CS-iQ Sterile Processing Workflow Management Software</v>
      </c>
      <c r="B7536" s="4" t="s">
        <v>554</v>
      </c>
      <c r="C7536" s="8" t="s">
        <v>5</v>
      </c>
      <c r="D7536" s="11" t="s">
        <v>5744</v>
      </c>
    </row>
    <row r="7537" spans="1:4" ht="30">
      <c r="A7537" s="5" t="str">
        <f>HYPERLINK("https://www.oit.va.gov/Services/TRM/ToolPage.aspx?tid=10332^","Sterile Processing Microsystem (SPM) Instrument Tracking Software")</f>
        <v>Sterile Processing Microsystem (SPM) Instrument Tracking Software</v>
      </c>
      <c r="B7537" s="4" t="s">
        <v>554</v>
      </c>
      <c r="C7537" s="8" t="s">
        <v>5</v>
      </c>
      <c r="D7537" s="11" t="s">
        <v>6073</v>
      </c>
    </row>
    <row r="7538" spans="1:4" ht="30">
      <c r="A7538" s="5" t="str">
        <f>HYPERLINK("https://www.oit.va.gov/Services/TRM/ToolPage.aspx?tid=10251^","ProConnect Response Center")</f>
        <v>ProConnect Response Center</v>
      </c>
      <c r="B7538" s="4" t="s">
        <v>554</v>
      </c>
      <c r="C7538" s="8" t="s">
        <v>5</v>
      </c>
      <c r="D7538" s="11" t="s">
        <v>2293</v>
      </c>
    </row>
    <row r="7539" spans="1:4" ht="30">
      <c r="A7539" s="5" t="str">
        <f>HYPERLINK("https://www.oit.va.gov/Services/TRM/ToolPage.aspx?tid=11536^","RealView Visual Workflow Management Software")</f>
        <v>RealView Visual Workflow Management Software</v>
      </c>
      <c r="B7539" s="4" t="s">
        <v>554</v>
      </c>
      <c r="C7539" s="8" t="s">
        <v>5</v>
      </c>
      <c r="D7539" s="11" t="s">
        <v>8541</v>
      </c>
    </row>
    <row r="7540" spans="1:4" ht="30">
      <c r="A7540" s="5" t="str">
        <f>HYPERLINK("https://www.oit.va.gov/Services/TRM/ToolPage.aspx?tid=11533^","Situational Awareness for Everyone (SAFE) Operating Room (OR) Safety Alert Monitor")</f>
        <v>Situational Awareness for Everyone (SAFE) Operating Room (OR) Safety Alert Monitor</v>
      </c>
      <c r="B7540" s="4" t="s">
        <v>554</v>
      </c>
      <c r="C7540" s="8" t="s">
        <v>5</v>
      </c>
      <c r="D7540" s="11" t="s">
        <v>2223</v>
      </c>
    </row>
    <row r="7541" spans="1:4" ht="30">
      <c r="A7541" s="5" t="str">
        <f>HYPERLINK("https://www.oit.va.gov/Services/TRM/ToolPage.aspx?tid=14726^","Veterans Information Management system (VIMS)")</f>
        <v>Veterans Information Management system (VIMS)</v>
      </c>
      <c r="B7541" s="4" t="s">
        <v>2032</v>
      </c>
      <c r="C7541" s="8" t="s">
        <v>5</v>
      </c>
      <c r="D7541" s="11" t="s">
        <v>2033</v>
      </c>
    </row>
    <row r="7542" spans="1:4" ht="30">
      <c r="A7542" s="5" t="str">
        <f>HYPERLINK("https://www.oit.va.gov/Services/TRM/ToolPage.aspx?tid=6266^","jMock")</f>
        <v>jMock</v>
      </c>
      <c r="B7542" s="4" t="s">
        <v>5284</v>
      </c>
      <c r="C7542" s="8" t="s">
        <v>5</v>
      </c>
      <c r="D7542" s="11" t="s">
        <v>5285</v>
      </c>
    </row>
    <row r="7543" spans="1:4" ht="30">
      <c r="A7543" s="5" t="str">
        <f>HYPERLINK("https://www.oit.va.gov/Services/TRM/ToolPage.aspx?tid=9019^","C3P0")</f>
        <v>C3P0</v>
      </c>
      <c r="B7543" s="4" t="s">
        <v>7590</v>
      </c>
      <c r="C7543" s="8" t="s">
        <v>5</v>
      </c>
      <c r="D7543" s="11" t="s">
        <v>5267</v>
      </c>
    </row>
    <row r="7544" spans="1:4" ht="30">
      <c r="A7544" s="5" t="str">
        <f>HYPERLINK("https://www.oit.va.gov/Services/TRM/ToolPage.aspx?tid=10333^","Steven Gould CleanUp!")</f>
        <v>Steven Gould CleanUp!</v>
      </c>
      <c r="B7544" s="4" t="s">
        <v>3558</v>
      </c>
      <c r="C7544" s="8" t="s">
        <v>5</v>
      </c>
      <c r="D7544" s="11" t="s">
        <v>3559</v>
      </c>
    </row>
    <row r="7545" spans="1:4" ht="30">
      <c r="A7545" s="5" t="str">
        <f>HYPERLINK("https://www.oit.va.gov/Services/TRM/ToolPage.aspx?tid=15582^","PDFtk Server")</f>
        <v>PDFtk Server</v>
      </c>
      <c r="B7545" s="4" t="s">
        <v>8412</v>
      </c>
      <c r="C7545" s="8" t="s">
        <v>5</v>
      </c>
      <c r="D7545" s="11" t="s">
        <v>7178</v>
      </c>
    </row>
    <row r="7546" spans="1:4" ht="30">
      <c r="A7546" s="5" t="str">
        <f>HYPERLINK("https://www.oit.va.gov/Services/TRM/ToolPage.aspx?tid=15038^","Job Browser Pro")</f>
        <v>Job Browser Pro</v>
      </c>
      <c r="B7546" s="4" t="s">
        <v>8128</v>
      </c>
      <c r="C7546" s="8" t="s">
        <v>5</v>
      </c>
      <c r="D7546" s="11" t="s">
        <v>8129</v>
      </c>
    </row>
    <row r="7547" spans="1:4" ht="30">
      <c r="A7547" s="5" t="str">
        <f>HYPERLINK("https://www.oit.va.gov/Services/TRM/ToolPage.aspx?tid=7291^","Stimulsoft Reports.Web")</f>
        <v>Stimulsoft Reports.Web</v>
      </c>
      <c r="B7547" s="4" t="s">
        <v>146</v>
      </c>
      <c r="C7547" s="8" t="s">
        <v>5</v>
      </c>
      <c r="D7547" s="11" t="s">
        <v>147</v>
      </c>
    </row>
    <row r="7548" spans="1:4" ht="30">
      <c r="A7548" s="5" t="str">
        <f>HYPERLINK("https://www.oit.va.gov/Services/TRM/ToolPage.aspx?tid=11000^","StresStimulus")</f>
        <v>StresStimulus</v>
      </c>
      <c r="B7548" s="4" t="s">
        <v>5528</v>
      </c>
      <c r="C7548" s="8" t="s">
        <v>5</v>
      </c>
      <c r="D7548" s="11" t="s">
        <v>2604</v>
      </c>
    </row>
    <row r="7549" spans="1:4" ht="30">
      <c r="A7549" s="5" t="str">
        <f>HYPERLINK("https://www.oit.va.gov/Services/TRM/ToolPage.aspx?tid=9016^","ANY-maze")</f>
        <v>ANY-maze</v>
      </c>
      <c r="B7549" s="4" t="s">
        <v>371</v>
      </c>
      <c r="C7549" s="8" t="s">
        <v>5</v>
      </c>
      <c r="D7549" s="11" t="s">
        <v>372</v>
      </c>
    </row>
    <row r="7550" spans="1:4" ht="30">
      <c r="A7550" s="5" t="str">
        <f>HYPERLINK("https://www.oit.va.gov/Services/TRM/ToolPage.aspx?tid=13223^","strace")</f>
        <v>strace</v>
      </c>
      <c r="B7550" s="4" t="s">
        <v>8738</v>
      </c>
      <c r="C7550" s="8" t="s">
        <v>5</v>
      </c>
      <c r="D7550" s="11" t="s">
        <v>5507</v>
      </c>
    </row>
    <row r="7551" spans="1:4" ht="30">
      <c r="A7551" s="5" t="str">
        <f>HYPERLINK("https://www.oit.va.gov/Services/TRM/ToolPage.aspx?tid=15380^","GrabCAD Print")</f>
        <v>GrabCAD Print</v>
      </c>
      <c r="B7551" s="4" t="s">
        <v>4194</v>
      </c>
      <c r="C7551" s="8" t="s">
        <v>5</v>
      </c>
      <c r="D7551" s="11" t="s">
        <v>4195</v>
      </c>
    </row>
    <row r="7552" spans="1:4" ht="30">
      <c r="A7552" s="5" t="str">
        <f>HYPERLINK("https://www.oit.va.gov/Services/TRM/ToolPage.aspx?tid=13263^","Insight")</f>
        <v>Insight</v>
      </c>
      <c r="B7552" s="4" t="s">
        <v>4194</v>
      </c>
      <c r="C7552" s="8" t="s">
        <v>5</v>
      </c>
      <c r="D7552" s="11" t="s">
        <v>5251</v>
      </c>
    </row>
    <row r="7553" spans="1:4" ht="30">
      <c r="A7553" s="5" t="str">
        <f>HYPERLINK("https://www.oit.va.gov/Services/TRM/ToolPage.aspx?tid=9679^","LinkSolv Record Linkage Software")</f>
        <v>LinkSolv Record Linkage Software</v>
      </c>
      <c r="B7553" s="4" t="s">
        <v>1694</v>
      </c>
      <c r="C7553" s="8" t="s">
        <v>5</v>
      </c>
      <c r="D7553" s="11" t="s">
        <v>1695</v>
      </c>
    </row>
    <row r="7554" spans="1:4" ht="30">
      <c r="A7554" s="5" t="str">
        <f>HYPERLINK("https://www.oit.va.gov/Services/TRM/ToolPage.aspx?tid=10075^","M Data Extractor (MDE)")</f>
        <v>M Data Extractor (MDE)</v>
      </c>
      <c r="B7554" s="4" t="s">
        <v>3370</v>
      </c>
      <c r="C7554" s="8" t="s">
        <v>5</v>
      </c>
      <c r="D7554" s="11" t="s">
        <v>748</v>
      </c>
    </row>
    <row r="7555" spans="1:4" ht="30">
      <c r="A7555" s="5" t="str">
        <f>HYPERLINK("https://www.oit.va.gov/Services/TRM/ToolPage.aspx?tid=11189^","Analyzer")</f>
        <v>Analyzer</v>
      </c>
      <c r="B7555" s="4" t="s">
        <v>6274</v>
      </c>
      <c r="C7555" s="8" t="s">
        <v>5</v>
      </c>
      <c r="D7555" s="11" t="s">
        <v>6275</v>
      </c>
    </row>
    <row r="7556" spans="1:4" ht="30">
      <c r="A7556" s="5" t="str">
        <f>HYPERLINK("https://www.oit.va.gov/Services/TRM/ToolPage.aspx?tid=7988^","everRun Enterprise")</f>
        <v>everRun Enterprise</v>
      </c>
      <c r="B7556" s="4" t="s">
        <v>4107</v>
      </c>
      <c r="C7556" s="8" t="s">
        <v>5</v>
      </c>
      <c r="D7556" s="11" t="s">
        <v>3950</v>
      </c>
    </row>
    <row r="7557" spans="1:4" ht="30">
      <c r="A7557" s="5" t="str">
        <f>HYPERLINK("https://www.oit.va.gov/Services/TRM/ToolPage.aspx?tid=5110^","Strawberry Perl")</f>
        <v>Strawberry Perl</v>
      </c>
      <c r="B7557" s="4" t="s">
        <v>866</v>
      </c>
      <c r="C7557" s="8" t="s">
        <v>5</v>
      </c>
      <c r="D7557" s="11" t="s">
        <v>867</v>
      </c>
    </row>
    <row r="7558" spans="1:4" ht="30">
      <c r="A7558" s="5" t="str">
        <f>HYPERLINK("https://www.oit.va.gov/Services/TRM/ToolPage.aspx?tid=12924^","Log4js")</f>
        <v>Log4js</v>
      </c>
      <c r="B7558" s="4" t="s">
        <v>8190</v>
      </c>
      <c r="C7558" s="8" t="s">
        <v>5</v>
      </c>
      <c r="D7558" s="11" t="s">
        <v>8191</v>
      </c>
    </row>
    <row r="7559" spans="1:4" ht="30">
      <c r="A7559" s="5" t="str">
        <f>HYPERLINK("https://www.oit.va.gov/Services/TRM/ToolPage.aspx?tid=16654^","Structured Solutions Inc (SSI) Tools Presentation Professional")</f>
        <v>Structured Solutions Inc (SSI) Tools Presentation Professional</v>
      </c>
      <c r="B7559" s="4" t="s">
        <v>2318</v>
      </c>
      <c r="C7559" s="8" t="s">
        <v>5</v>
      </c>
      <c r="D7559" s="11" t="s">
        <v>2319</v>
      </c>
    </row>
    <row r="7560" spans="1:4" ht="30">
      <c r="A7560" s="5" t="str">
        <f>HYPERLINK("https://www.oit.va.gov/Services/TRM/ToolPage.aspx?tid=6778^","StructureMap")</f>
        <v>StructureMap</v>
      </c>
      <c r="B7560" s="4" t="s">
        <v>8747</v>
      </c>
      <c r="C7560" s="8" t="s">
        <v>5</v>
      </c>
      <c r="D7560" s="11" t="s">
        <v>8748</v>
      </c>
    </row>
    <row r="7561" spans="1:4" ht="30">
      <c r="A7561" s="5" t="str">
        <f>HYPERLINK("https://www.oit.va.gov/Services/TRM/ToolPage.aspx?tid=15310^","Vocera Analytics")</f>
        <v>Vocera Analytics</v>
      </c>
      <c r="B7561" s="4" t="s">
        <v>898</v>
      </c>
      <c r="C7561" s="8" t="s">
        <v>5</v>
      </c>
      <c r="D7561" s="11" t="s">
        <v>899</v>
      </c>
    </row>
    <row r="7562" spans="1:4" ht="30">
      <c r="A7562" s="5" t="str">
        <f>HYPERLINK("https://www.oit.va.gov/Services/TRM/ToolPage.aspx?tid=15780^","Vocera Voice Server (VVS)")</f>
        <v>Vocera Voice Server (VVS)</v>
      </c>
      <c r="B7562" s="4" t="s">
        <v>898</v>
      </c>
      <c r="C7562" s="8" t="s">
        <v>5</v>
      </c>
      <c r="D7562" s="11" t="s">
        <v>900</v>
      </c>
    </row>
    <row r="7563" spans="1:4" ht="30">
      <c r="A7563" s="5" t="str">
        <f>HYPERLINK("https://www.oit.va.gov/Services/TRM/ToolPage.aspx?tid=9439^","CODE-STAT Data Review Software")</f>
        <v>CODE-STAT Data Review Software</v>
      </c>
      <c r="B7563" s="4" t="s">
        <v>898</v>
      </c>
      <c r="C7563" s="8" t="s">
        <v>5</v>
      </c>
      <c r="D7563" s="11" t="s">
        <v>648</v>
      </c>
    </row>
    <row r="7564" spans="1:4" ht="30">
      <c r="A7564" s="5" t="str">
        <f>HYPERLINK("https://www.oit.va.gov/Services/TRM/ToolPage.aspx?tid=15309^","Vocera Communications Platform")</f>
        <v>Vocera Communications Platform</v>
      </c>
      <c r="B7564" s="4" t="s">
        <v>898</v>
      </c>
      <c r="C7564" s="8" t="s">
        <v>5</v>
      </c>
      <c r="D7564" s="11" t="s">
        <v>2045</v>
      </c>
    </row>
    <row r="7565" spans="1:4" ht="30">
      <c r="A7565" s="5" t="str">
        <f>HYPERLINK("https://www.oit.va.gov/Services/TRM/ToolPage.aspx?tid=15779^","Vocera Messaging Platform (VMP)")</f>
        <v>Vocera Messaging Platform (VMP)</v>
      </c>
      <c r="B7565" s="4" t="s">
        <v>898</v>
      </c>
      <c r="C7565" s="8" t="s">
        <v>5</v>
      </c>
      <c r="D7565" s="11" t="s">
        <v>900</v>
      </c>
    </row>
    <row r="7566" spans="1:4" ht="30">
      <c r="A7566" s="5" t="str">
        <f>HYPERLINK("https://www.oit.va.gov/Services/TRM/ToolPage.aspx?tid=14630^","Blueprint")</f>
        <v>Blueprint</v>
      </c>
      <c r="B7566" s="4" t="s">
        <v>898</v>
      </c>
      <c r="C7566" s="8" t="s">
        <v>5</v>
      </c>
      <c r="D7566" s="11" t="s">
        <v>3846</v>
      </c>
    </row>
    <row r="7567" spans="1:4" ht="30">
      <c r="A7567" s="5" t="str">
        <f>HYPERLINK("https://www.oit.va.gov/Services/TRM/ToolPage.aspx?tid=16607^","LIFENET Alert")</f>
        <v>LIFENET Alert</v>
      </c>
      <c r="B7567" s="4" t="s">
        <v>898</v>
      </c>
      <c r="C7567" s="8" t="s">
        <v>5</v>
      </c>
      <c r="D7567" s="11" t="s">
        <v>3255</v>
      </c>
    </row>
    <row r="7568" spans="1:4" ht="30">
      <c r="A7568" s="5" t="str">
        <f>HYPERLINK("https://www.oit.va.gov/Services/TRM/ToolPage.aspx?tid=16104^","vMix")</f>
        <v>vMix</v>
      </c>
      <c r="B7568" s="4" t="s">
        <v>1122</v>
      </c>
      <c r="C7568" s="8" t="s">
        <v>5</v>
      </c>
      <c r="D7568" s="11" t="s">
        <v>1123</v>
      </c>
    </row>
    <row r="7569" spans="1:4" ht="30">
      <c r="A7569" s="5" t="str">
        <f>HYPERLINK("https://www.oit.va.gov/Services/TRM/ToolPage.aspx?tid=15050^","Studio 3T")</f>
        <v>Studio 3T</v>
      </c>
      <c r="B7569" s="4" t="s">
        <v>266</v>
      </c>
      <c r="C7569" s="8" t="s">
        <v>5</v>
      </c>
      <c r="D7569" s="11" t="s">
        <v>267</v>
      </c>
    </row>
    <row r="7570" spans="1:4" ht="30">
      <c r="A7570" s="5" t="str">
        <f>HYPERLINK("https://www.oit.va.gov/Services/TRM/ToolPage.aspx?tid=9331^","StudyTRAX")</f>
        <v>StudyTRAX</v>
      </c>
      <c r="B7570" s="4" t="s">
        <v>266</v>
      </c>
      <c r="C7570" s="8" t="s">
        <v>5</v>
      </c>
      <c r="D7570" s="11" t="s">
        <v>3562</v>
      </c>
    </row>
    <row r="7571" spans="1:4" ht="30">
      <c r="A7571" s="5" t="str">
        <f>HYPERLINK("https://www.oit.va.gov/Services/TRM/ToolPage.aspx?tid=15406^","Style Seven Transparent Clock")</f>
        <v>Style Seven Transparent Clock</v>
      </c>
      <c r="B7571" s="4" t="s">
        <v>8749</v>
      </c>
      <c r="C7571" s="8" t="s">
        <v>5</v>
      </c>
      <c r="D7571" s="11" t="s">
        <v>8750</v>
      </c>
    </row>
    <row r="7572" spans="1:4" ht="30">
      <c r="A7572" s="5" t="str">
        <f>HYPERLINK("https://www.oit.va.gov/Services/TRM/ToolPage.aspx?tid=15405^","Style Seven Web Clock 7")</f>
        <v>Style Seven Web Clock 7</v>
      </c>
      <c r="B7572" s="4" t="s">
        <v>8749</v>
      </c>
      <c r="C7572" s="8" t="s">
        <v>5</v>
      </c>
      <c r="D7572" s="11" t="s">
        <v>8751</v>
      </c>
    </row>
    <row r="7573" spans="1:4" ht="30">
      <c r="A7573" s="5" t="str">
        <f>HYPERLINK("https://www.oit.va.gov/Services/TRM/ToolPage.aspx?tid=7995^","Prepros Pro")</f>
        <v>Prepros Pro</v>
      </c>
      <c r="B7573" s="4" t="s">
        <v>7025</v>
      </c>
      <c r="C7573" s="8" t="s">
        <v>5</v>
      </c>
      <c r="D7573" s="11" t="s">
        <v>3725</v>
      </c>
    </row>
    <row r="7574" spans="1:4" ht="30">
      <c r="A7574" s="5" t="str">
        <f>HYPERLINK("https://www.oit.va.gov/Services/TRM/ToolPage.aspx?tid=8175^","Sublime Text")</f>
        <v>Sublime Text</v>
      </c>
      <c r="B7574" s="4" t="s">
        <v>3000</v>
      </c>
      <c r="C7574" s="8" t="s">
        <v>5</v>
      </c>
      <c r="D7574" s="11" t="s">
        <v>864</v>
      </c>
    </row>
    <row r="7575" spans="1:4" ht="30">
      <c r="A7575" s="5" t="str">
        <f>HYPERLINK("https://www.oit.va.gov/Services/TRM/ToolPage.aspx?tid=7382^","Subtitles")</f>
        <v>Subtitles</v>
      </c>
      <c r="B7575" s="4" t="s">
        <v>6091</v>
      </c>
      <c r="C7575" s="8" t="s">
        <v>5</v>
      </c>
      <c r="D7575" s="11" t="s">
        <v>1998</v>
      </c>
    </row>
    <row r="7576" spans="1:4" ht="30">
      <c r="A7576" s="5" t="str">
        <f>HYPERLINK("https://www.oit.va.gov/Services/TRM/ToolPage.aspx?tid=15675^","SunCheck Patient")</f>
        <v>SunCheck Patient</v>
      </c>
      <c r="B7576" s="4" t="s">
        <v>1971</v>
      </c>
      <c r="C7576" s="8" t="s">
        <v>5</v>
      </c>
      <c r="D7576" s="11" t="s">
        <v>899</v>
      </c>
    </row>
    <row r="7577" spans="1:4" ht="30">
      <c r="A7577" s="5" t="str">
        <f>HYPERLINK("https://www.oit.va.gov/Services/TRM/ToolPage.aspx?tid=15683^","SunCheck Machine")</f>
        <v>SunCheck Machine</v>
      </c>
      <c r="B7577" s="4" t="s">
        <v>1971</v>
      </c>
      <c r="C7577" s="8" t="s">
        <v>5</v>
      </c>
      <c r="D7577" s="11" t="s">
        <v>3001</v>
      </c>
    </row>
    <row r="7578" spans="1:4" ht="30">
      <c r="A7578" s="5" t="str">
        <f>HYPERLINK("https://www.oit.va.gov/Services/TRM/ToolPage.aspx?tid=9968^","Profiler 2 Software")</f>
        <v>Profiler 2 Software</v>
      </c>
      <c r="B7578" s="4" t="s">
        <v>1971</v>
      </c>
      <c r="C7578" s="8" t="s">
        <v>5</v>
      </c>
      <c r="D7578" s="11" t="s">
        <v>4658</v>
      </c>
    </row>
    <row r="7579" spans="1:4" ht="30">
      <c r="A7579" s="5" t="str">
        <f>HYPERLINK("https://www.oit.va.gov/Services/TRM/ToolPage.aspx?tid=13125^","Sun Nuclear Corporation (SNC) Dosimetry Software")</f>
        <v>Sun Nuclear Corporation (SNC) Dosimetry Software</v>
      </c>
      <c r="B7579" s="4" t="s">
        <v>1971</v>
      </c>
      <c r="C7579" s="8" t="s">
        <v>5</v>
      </c>
      <c r="D7579" s="11" t="s">
        <v>6092</v>
      </c>
    </row>
    <row r="7580" spans="1:4" ht="30">
      <c r="A7580" s="5" t="str">
        <f>HYPERLINK("https://www.oit.va.gov/Services/TRM/ToolPage.aspx?tid=9715^","Sun Nuclear Corporation (SNC) Patient Software")</f>
        <v>Sun Nuclear Corporation (SNC) Patient Software</v>
      </c>
      <c r="B7580" s="4" t="s">
        <v>1971</v>
      </c>
      <c r="C7580" s="8" t="s">
        <v>5</v>
      </c>
      <c r="D7580" s="11" t="s">
        <v>5102</v>
      </c>
    </row>
    <row r="7581" spans="1:4" ht="30">
      <c r="A7581" s="5" t="str">
        <f>HYPERLINK("https://www.oit.va.gov/Services/TRM/ToolPage.aspx?tid=16414^","SunDOSE")</f>
        <v>SunDOSE</v>
      </c>
      <c r="B7581" s="4" t="s">
        <v>1971</v>
      </c>
      <c r="C7581" s="8" t="s">
        <v>5</v>
      </c>
      <c r="D7581" s="11" t="s">
        <v>4151</v>
      </c>
    </row>
    <row r="7582" spans="1:4" ht="30">
      <c r="A7582" s="5" t="str">
        <f>HYPERLINK("https://www.oit.va.gov/Services/TRM/ToolPage.aspx?tid=9706^","Daily QA 3")</f>
        <v>Daily QA 3</v>
      </c>
      <c r="B7582" s="4" t="s">
        <v>1971</v>
      </c>
      <c r="C7582" s="8" t="s">
        <v>5</v>
      </c>
      <c r="D7582" s="11" t="s">
        <v>7725</v>
      </c>
    </row>
    <row r="7583" spans="1:4" ht="30">
      <c r="A7583" s="5" t="str">
        <f>HYPERLINK("https://www.oit.va.gov/Services/TRM/ToolPage.aspx?tid=10684^","TomoDose Software")</f>
        <v>TomoDose Software</v>
      </c>
      <c r="B7583" s="4" t="s">
        <v>1971</v>
      </c>
      <c r="C7583" s="8" t="s">
        <v>5</v>
      </c>
      <c r="D7583" s="11" t="s">
        <v>861</v>
      </c>
    </row>
    <row r="7584" spans="1:4" ht="30">
      <c r="A7584" s="5" t="str">
        <f>HYPERLINK("https://www.oit.va.gov/Services/TRM/ToolPage.aspx?tid=10774^","Utilization Optimization")</f>
        <v>Utilization Optimization</v>
      </c>
      <c r="B7584" s="4" t="s">
        <v>3050</v>
      </c>
      <c r="C7584" s="8" t="s">
        <v>5</v>
      </c>
      <c r="D7584" s="11" t="s">
        <v>3051</v>
      </c>
    </row>
    <row r="7585" spans="1:4" ht="30">
      <c r="A7585" s="5" t="str">
        <f>HYPERLINK("https://www.oit.va.gov/Services/TRM/ToolPage.aspx?tid=7751^","AccuWin Pro")</f>
        <v>AccuWin Pro</v>
      </c>
      <c r="B7585" s="4" t="s">
        <v>1269</v>
      </c>
      <c r="C7585" s="8" t="s">
        <v>5</v>
      </c>
      <c r="D7585" s="11" t="s">
        <v>1270</v>
      </c>
    </row>
    <row r="7586" spans="1:4" ht="30">
      <c r="A7586" s="5" t="str">
        <f>HYPERLINK("https://www.oit.va.gov/Services/TRM/ToolPage.aspx?tid=10087^","ChangeGear")</f>
        <v>ChangeGear</v>
      </c>
      <c r="B7586" s="4" t="s">
        <v>186</v>
      </c>
      <c r="C7586" s="8" t="s">
        <v>5</v>
      </c>
      <c r="D7586" s="11" t="s">
        <v>187</v>
      </c>
    </row>
    <row r="7587" spans="1:4" ht="30">
      <c r="A7587" s="5" t="str">
        <f>HYPERLINK("https://www.oit.va.gov/Services/TRM/ToolPage.aspx?tid=11784^","LOGIT Data Logger Software")</f>
        <v>LOGIT Data Logger Software</v>
      </c>
      <c r="B7587" s="4" t="s">
        <v>5923</v>
      </c>
      <c r="C7587" s="8" t="s">
        <v>5</v>
      </c>
      <c r="D7587" s="11" t="s">
        <v>5906</v>
      </c>
    </row>
    <row r="7588" spans="1:4" ht="30">
      <c r="A7588" s="5" t="str">
        <f>HYPERLINK("https://www.oit.va.gov/Services/TRM/ToolPage.aspx?tid=9083^","SuperDoctor 5")</f>
        <v>SuperDoctor 5</v>
      </c>
      <c r="B7588" s="4" t="s">
        <v>5536</v>
      </c>
      <c r="C7588" s="8" t="s">
        <v>5</v>
      </c>
      <c r="D7588" s="11" t="s">
        <v>4094</v>
      </c>
    </row>
    <row r="7589" spans="1:4" ht="30">
      <c r="A7589" s="5" t="str">
        <f>HYPERLINK("https://www.oit.va.gov/Services/TRM/ToolPage.aspx?tid=8294^","Supermicro Power Manager (SPM)")</f>
        <v>Supermicro Power Manager (SPM)</v>
      </c>
      <c r="B7589" s="4" t="s">
        <v>5536</v>
      </c>
      <c r="C7589" s="8" t="s">
        <v>5</v>
      </c>
      <c r="D7589" s="11" t="s">
        <v>3926</v>
      </c>
    </row>
    <row r="7590" spans="1:4" ht="30">
      <c r="A7590" s="5" t="str">
        <f>HYPERLINK("https://www.oit.va.gov/Services/TRM/ToolPage.aspx?tid=9086^","Supermicro Intelligent Platform Management Interface (IPMI) Utilities")</f>
        <v>Supermicro Intelligent Platform Management Interface (IPMI) Utilities</v>
      </c>
      <c r="B7590" s="4" t="s">
        <v>5536</v>
      </c>
      <c r="C7590" s="8" t="s">
        <v>5</v>
      </c>
      <c r="D7590" s="11" t="s">
        <v>5423</v>
      </c>
    </row>
    <row r="7591" spans="1:4" ht="30">
      <c r="A7591" s="5" t="str">
        <f>HYPERLINK("https://www.oit.va.gov/Services/TRM/ToolPage.aspx?tid=9085^","Supermicro Command Manager (SCM)")</f>
        <v>Supermicro Command Manager (SCM)</v>
      </c>
      <c r="B7591" s="4" t="s">
        <v>5536</v>
      </c>
      <c r="C7591" s="8" t="s">
        <v>5</v>
      </c>
      <c r="D7591" s="11" t="s">
        <v>7194</v>
      </c>
    </row>
    <row r="7592" spans="1:4" ht="30">
      <c r="A7592" s="5" t="str">
        <f>HYPERLINK("https://www.oit.va.gov/Services/TRM/ToolPage.aspx?tid=9087^","Supermicro Server Manager (SSM)")</f>
        <v>Supermicro Server Manager (SSM)</v>
      </c>
      <c r="B7592" s="4" t="s">
        <v>5536</v>
      </c>
      <c r="C7592" s="8" t="s">
        <v>5</v>
      </c>
      <c r="D7592" s="11" t="s">
        <v>1521</v>
      </c>
    </row>
    <row r="7593" spans="1:4" ht="30">
      <c r="A7593" s="5" t="str">
        <f>HYPERLINK("https://www.oit.va.gov/Services/TRM/ToolPage.aspx?tid=9172^","Supermicro Update Manager (SUM)")</f>
        <v>Supermicro Update Manager (SUM)</v>
      </c>
      <c r="B7593" s="4" t="s">
        <v>5536</v>
      </c>
      <c r="C7593" s="8" t="s">
        <v>5</v>
      </c>
      <c r="D7593" s="11" t="s">
        <v>2948</v>
      </c>
    </row>
    <row r="7594" spans="1:4" ht="30">
      <c r="A7594" s="5" t="str">
        <f>HYPERLINK("https://www.oit.va.gov/Services/TRM/ToolPage.aspx?tid=13793^","Supervisor")</f>
        <v>Supervisor</v>
      </c>
      <c r="B7594" s="4" t="s">
        <v>1972</v>
      </c>
      <c r="C7594" s="8" t="s">
        <v>5</v>
      </c>
      <c r="D7594" s="11" t="s">
        <v>1973</v>
      </c>
    </row>
    <row r="7595" spans="1:4" ht="30">
      <c r="A7595" s="5" t="str">
        <f>HYPERLINK("https://www.oit.va.gov/Services/TRM/ToolPage.aspx?tid=6477^","SupraCCHT")</f>
        <v>SupraCCHT</v>
      </c>
      <c r="B7595" s="4" t="s">
        <v>5538</v>
      </c>
      <c r="C7595" s="8" t="s">
        <v>5</v>
      </c>
      <c r="D7595" s="11" t="s">
        <v>5539</v>
      </c>
    </row>
    <row r="7596" spans="1:4" ht="30">
      <c r="A7596" s="5" t="str">
        <f>HYPERLINK("https://www.oit.va.gov/Services/TRM/ToolPage.aspx?tid=16328^","Surescripts")</f>
        <v>Surescripts</v>
      </c>
      <c r="B7596" s="4" t="s">
        <v>3563</v>
      </c>
      <c r="C7596" s="8" t="s">
        <v>5</v>
      </c>
      <c r="D7596" s="11" t="s">
        <v>3564</v>
      </c>
    </row>
    <row r="7597" spans="1:4" ht="30">
      <c r="A7597" s="5" t="str">
        <f>HYPERLINK("https://www.oit.va.gov/Services/TRM/ToolPage.aspx?tid=14796^","MentorLearn")</f>
        <v>MentorLearn</v>
      </c>
      <c r="B7597" s="4" t="s">
        <v>6849</v>
      </c>
      <c r="C7597" s="8" t="s">
        <v>5</v>
      </c>
      <c r="D7597" s="11" t="s">
        <v>4424</v>
      </c>
    </row>
    <row r="7598" spans="1:4" ht="30">
      <c r="A7598" s="5" t="str">
        <f>HYPERLINK("https://www.oit.va.gov/Services/TRM/ToolPage.aspx?tid=14670^","Rancher")</f>
        <v>Rancher</v>
      </c>
      <c r="B7598" s="4" t="s">
        <v>1884</v>
      </c>
      <c r="C7598" s="8" t="s">
        <v>5</v>
      </c>
      <c r="D7598" s="11" t="s">
        <v>1885</v>
      </c>
    </row>
    <row r="7599" spans="1:4" ht="30">
      <c r="A7599" s="5" t="str">
        <f>HYPERLINK("https://www.oit.va.gov/Services/TRM/ToolPage.aspx?tid=9061^","SUSE Linux")</f>
        <v>SUSE Linux</v>
      </c>
      <c r="B7599" s="4" t="s">
        <v>1884</v>
      </c>
      <c r="C7599" s="8" t="s">
        <v>5</v>
      </c>
      <c r="D7599" s="11" t="s">
        <v>3569</v>
      </c>
    </row>
    <row r="7600" spans="1:4" ht="30">
      <c r="A7600" s="5" t="str">
        <f>HYPERLINK("https://www.oit.va.gov/Services/TRM/ToolPage.aspx?tid=16460^","Rancher Kubernetes Engine (RKE)")</f>
        <v>Rancher Kubernetes Engine (RKE)</v>
      </c>
      <c r="B7600" s="4" t="s">
        <v>1884</v>
      </c>
      <c r="C7600" s="8" t="s">
        <v>5</v>
      </c>
      <c r="D7600" s="11" t="s">
        <v>7064</v>
      </c>
    </row>
    <row r="7601" spans="1:4" ht="30">
      <c r="A7601" s="5" t="str">
        <f>HYPERLINK("https://www.oit.va.gov/Services/TRM/ToolPage.aspx?tid=16794^","Rancher Kubernetes Engine (RKE2)")</f>
        <v>Rancher Kubernetes Engine (RKE2)</v>
      </c>
      <c r="B7601" s="4" t="s">
        <v>1884</v>
      </c>
      <c r="C7601" s="8" t="s">
        <v>5</v>
      </c>
      <c r="D7601" s="11" t="s">
        <v>7065</v>
      </c>
    </row>
    <row r="7602" spans="1:4" ht="30">
      <c r="A7602" s="5" t="str">
        <f>HYPERLINK("https://www.oit.va.gov/Services/TRM/ToolPage.aspx?tid=16765^","Move Mouse")</f>
        <v>Move Mouse</v>
      </c>
      <c r="B7602" s="4" t="s">
        <v>5956</v>
      </c>
      <c r="C7602" s="8" t="s">
        <v>5</v>
      </c>
      <c r="D7602" s="11" t="s">
        <v>5955</v>
      </c>
    </row>
    <row r="7603" spans="1:4" ht="30">
      <c r="A7603" s="5" t="str">
        <f>HYPERLINK("https://www.oit.va.gov/Services/TRM/ToolPage.aspx?tid=14773^","Electroencephalogram Lab (EEGLAB)")</f>
        <v>Electroencephalogram Lab (EEGLAB)</v>
      </c>
      <c r="B7603" s="4" t="s">
        <v>6566</v>
      </c>
      <c r="C7603" s="8" t="s">
        <v>5</v>
      </c>
      <c r="D7603" s="11" t="s">
        <v>2243</v>
      </c>
    </row>
    <row r="7604" spans="1:4" ht="30">
      <c r="A7604" s="5" t="str">
        <f>HYPERLINK("https://www.oit.va.gov/Services/TRM/ToolPage.aspx?tid=16591^","SwiftDialog")</f>
        <v>SwiftDialog</v>
      </c>
      <c r="B7604" s="4" t="s">
        <v>8764</v>
      </c>
      <c r="C7604" s="8" t="s">
        <v>5</v>
      </c>
      <c r="D7604" s="11" t="s">
        <v>8765</v>
      </c>
    </row>
    <row r="7605" spans="1:4" ht="30">
      <c r="A7605" s="5" t="str">
        <f>HYPERLINK("https://www.oit.va.gov/Services/TRM/ToolPage.aspx?tid=12998^","SwifterSwift")</f>
        <v>SwifterSwift</v>
      </c>
      <c r="B7605" s="4" t="s">
        <v>8766</v>
      </c>
      <c r="C7605" s="8" t="s">
        <v>5</v>
      </c>
      <c r="D7605" s="11" t="s">
        <v>479</v>
      </c>
    </row>
    <row r="7606" spans="1:4" ht="30">
      <c r="A7606" s="5" t="str">
        <f>HYPERLINK("https://www.oit.va.gov/Services/TRM/ToolPage.aspx?tid=11333^","NGX-Datatable")</f>
        <v>NGX-Datatable</v>
      </c>
      <c r="B7606" s="4" t="s">
        <v>5378</v>
      </c>
      <c r="C7606" s="8" t="s">
        <v>5</v>
      </c>
      <c r="D7606" s="11" t="s">
        <v>2901</v>
      </c>
    </row>
    <row r="7607" spans="1:4" ht="30">
      <c r="A7607" s="5" t="str">
        <f>HYPERLINK("https://www.oit.va.gov/Services/TRM/ToolPage.aspx?tid=9515^","System Control Center (SCC) Software")</f>
        <v>System Control Center (SCC) Software</v>
      </c>
      <c r="B7607" s="4" t="s">
        <v>4880</v>
      </c>
      <c r="C7607" s="8" t="s">
        <v>5</v>
      </c>
      <c r="D7607" s="11" t="s">
        <v>4881</v>
      </c>
    </row>
    <row r="7608" spans="1:4" ht="30">
      <c r="A7608" s="5" t="str">
        <f>HYPERLINK("https://www.oit.va.gov/Services/TRM/ToolPage.aspx?tid=15545^","PillPick Manager")</f>
        <v>PillPick Manager</v>
      </c>
      <c r="B7608" s="4" t="s">
        <v>4880</v>
      </c>
      <c r="C7608" s="8" t="s">
        <v>5</v>
      </c>
      <c r="D7608" s="11" t="s">
        <v>1881</v>
      </c>
    </row>
    <row r="7609" spans="1:4" ht="30">
      <c r="A7609" s="5" t="str">
        <f>HYPERLINK("https://www.oit.va.gov/Services/TRM/ToolPage.aspx?tid=15045^","Swisslog IMS (Inventory Management System)")</f>
        <v>Swisslog IMS (Inventory Management System)</v>
      </c>
      <c r="B7609" s="4" t="s">
        <v>4880</v>
      </c>
      <c r="C7609" s="8" t="s">
        <v>5</v>
      </c>
      <c r="D7609" s="11" t="s">
        <v>6972</v>
      </c>
    </row>
    <row r="7610" spans="1:4" ht="30">
      <c r="A7610" s="5" t="str">
        <f>HYPERLINK("https://www.oit.va.gov/Services/TRM/ToolPage.aspx?tid=14210^","Swissphone - ProgrammierSoftWare (PSW) Plus Pager Programming")</f>
        <v>Swissphone - ProgrammierSoftWare (PSW) Plus Pager Programming</v>
      </c>
      <c r="B7610" s="4" t="s">
        <v>6093</v>
      </c>
      <c r="C7610" s="8" t="s">
        <v>5</v>
      </c>
      <c r="D7610" s="11" t="s">
        <v>530</v>
      </c>
    </row>
    <row r="7611" spans="1:4" ht="30">
      <c r="A7611" s="5" t="str">
        <f>HYPERLINK("https://www.oit.va.gov/Services/TRM/ToolPage.aspx?tid=14192^","SwissPhone PSW900 Pager Programming")</f>
        <v>SwissPhone PSW900 Pager Programming</v>
      </c>
      <c r="B7611" s="4" t="s">
        <v>6093</v>
      </c>
      <c r="C7611" s="8" t="s">
        <v>5</v>
      </c>
      <c r="D7611" s="11" t="s">
        <v>8767</v>
      </c>
    </row>
    <row r="7612" spans="1:4" ht="30">
      <c r="A7612" s="5" t="str">
        <f>HYPERLINK("https://www.oit.va.gov/Services/TRM/ToolPage.aspx?tid=13672^","PeriOptimization")</f>
        <v>PeriOptimization</v>
      </c>
      <c r="B7612" s="4" t="s">
        <v>2847</v>
      </c>
      <c r="C7612" s="8" t="s">
        <v>5</v>
      </c>
      <c r="D7612" s="11" t="s">
        <v>1590</v>
      </c>
    </row>
    <row r="7613" spans="1:4" ht="30">
      <c r="A7613" s="5" t="str">
        <f>HYPERLINK("https://www.oit.va.gov/Services/TRM/ToolPage.aspx?tid=5686^","pcAnywhere")</f>
        <v>pcAnywhere</v>
      </c>
      <c r="B7613" s="4" t="s">
        <v>8405</v>
      </c>
      <c r="C7613" s="8" t="s">
        <v>5</v>
      </c>
      <c r="D7613" s="11" t="s">
        <v>7418</v>
      </c>
    </row>
    <row r="7614" spans="1:4" ht="30">
      <c r="A7614" s="5" t="str">
        <f>HYPERLINK("https://www.oit.va.gov/Services/TRM/ToolPage.aspx?tid=16321^","Symetrix Composer")</f>
        <v>Symetrix Composer</v>
      </c>
      <c r="B7614" s="4" t="s">
        <v>3011</v>
      </c>
      <c r="C7614" s="8" t="s">
        <v>5</v>
      </c>
      <c r="D7614" s="11" t="s">
        <v>3012</v>
      </c>
    </row>
    <row r="7615" spans="1:4" ht="30">
      <c r="A7615" s="5" t="str">
        <f>HYPERLINK("https://www.oit.va.gov/Services/TRM/ToolPage.aspx?tid=15645^","Synergy Mouse and Keyboard")</f>
        <v>Synergy Mouse and Keyboard</v>
      </c>
      <c r="B7615" s="4" t="s">
        <v>8771</v>
      </c>
      <c r="C7615" s="8" t="s">
        <v>5</v>
      </c>
      <c r="D7615" s="11" t="s">
        <v>8772</v>
      </c>
    </row>
    <row r="7616" spans="1:4" ht="30">
      <c r="A7616" s="5" t="str">
        <f>HYPERLINK("https://www.oit.va.gov/Services/TRM/ToolPage.aspx?tid=16380^","Symplr Provider (sProvider) On Premise")</f>
        <v>Symplr Provider (sProvider) On Premise</v>
      </c>
      <c r="B7616" s="4" t="s">
        <v>4876</v>
      </c>
      <c r="C7616" s="8" t="s">
        <v>5</v>
      </c>
      <c r="D7616" s="11" t="s">
        <v>4877</v>
      </c>
    </row>
    <row r="7617" spans="1:4" ht="30">
      <c r="A7617" s="5" t="str">
        <f>HYPERLINK("https://www.oit.va.gov/Services/TRM/ToolPage.aspx?tid=6074^","NetLearning")</f>
        <v>NetLearning</v>
      </c>
      <c r="B7617" s="4" t="s">
        <v>4876</v>
      </c>
      <c r="C7617" s="8" t="s">
        <v>5</v>
      </c>
      <c r="D7617" s="11" t="s">
        <v>5376</v>
      </c>
    </row>
    <row r="7618" spans="1:4" ht="30">
      <c r="A7618" s="5" t="str">
        <f>HYPERLINK("https://www.oit.va.gov/Services/TRM/ToolPage.aspx?tid=7518^","PRIVplus")</f>
        <v>PRIVplus</v>
      </c>
      <c r="B7618" s="4" t="s">
        <v>4876</v>
      </c>
      <c r="C7618" s="8" t="s">
        <v>5</v>
      </c>
      <c r="D7618" s="11" t="s">
        <v>1635</v>
      </c>
    </row>
    <row r="7619" spans="1:4" ht="30">
      <c r="A7619" s="5" t="str">
        <f>HYPERLINK("https://www.oit.va.gov/Services/TRM/ToolPage.aspx?tid=10813^","Computer Assisted Credentials Tracking and Update System (CACTUS)")</f>
        <v>Computer Assisted Credentials Tracking and Update System (CACTUS)</v>
      </c>
      <c r="B7619" s="4" t="s">
        <v>4876</v>
      </c>
      <c r="C7619" s="8" t="s">
        <v>5</v>
      </c>
      <c r="D7619" s="11" t="s">
        <v>2387</v>
      </c>
    </row>
    <row r="7620" spans="1:4" ht="30">
      <c r="A7620" s="5" t="str">
        <f>HYPERLINK("https://www.oit.va.gov/Services/TRM/ToolPage.aspx?tid=6183^","WinSQL Lite")</f>
        <v>WinSQL Lite</v>
      </c>
      <c r="B7620" s="4" t="s">
        <v>5597</v>
      </c>
      <c r="C7620" s="8" t="s">
        <v>5</v>
      </c>
      <c r="D7620" s="11" t="s">
        <v>2197</v>
      </c>
    </row>
    <row r="7621" spans="1:4" ht="30">
      <c r="A7621" s="5" t="str">
        <f>HYPERLINK("https://www.oit.va.gov/Services/TRM/ToolPage.aspx?tid=13033^","WinSQL")</f>
        <v>WinSQL</v>
      </c>
      <c r="B7621" s="4" t="s">
        <v>5597</v>
      </c>
      <c r="C7621" s="8" t="s">
        <v>5</v>
      </c>
      <c r="D7621" s="11" t="s">
        <v>7332</v>
      </c>
    </row>
    <row r="7622" spans="1:4" ht="30">
      <c r="A7622" s="5" t="str">
        <f>HYPERLINK("https://www.oit.va.gov/Services/TRM/ToolPage.aspx?tid=5949^","DisplayLink")</f>
        <v>DisplayLink</v>
      </c>
      <c r="B7622" s="4" t="s">
        <v>4025</v>
      </c>
      <c r="C7622" s="8" t="s">
        <v>5</v>
      </c>
      <c r="D7622" s="11" t="s">
        <v>4026</v>
      </c>
    </row>
    <row r="7623" spans="1:4" ht="30">
      <c r="A7623" s="5" t="str">
        <f>HYPERLINK("https://www.oit.va.gov/Services/TRM/ToolPage.aspx?tid=10574^","SoundMAX")</f>
        <v>SoundMAX</v>
      </c>
      <c r="B7623" s="4" t="s">
        <v>4025</v>
      </c>
      <c r="C7623" s="8" t="s">
        <v>5</v>
      </c>
      <c r="D7623" s="11" t="s">
        <v>1891</v>
      </c>
    </row>
    <row r="7624" spans="1:4" ht="30">
      <c r="A7624" s="5" t="str">
        <f>HYPERLINK("https://www.oit.va.gov/Services/TRM/ToolPage.aspx?tid=11023^","ClearCanvas Digital Imaging and Communications in Medicine (DICOM) Viewer")</f>
        <v>ClearCanvas Digital Imaging and Communications in Medicine (DICOM) Viewer</v>
      </c>
      <c r="B7624" s="4" t="s">
        <v>7654</v>
      </c>
      <c r="C7624" s="8" t="s">
        <v>5</v>
      </c>
      <c r="D7624" s="11" t="s">
        <v>2136</v>
      </c>
    </row>
    <row r="7625" spans="1:4" ht="30">
      <c r="A7625" s="5" t="str">
        <f>HYPERLINK("https://www.oit.va.gov/Services/TRM/ToolPage.aspx?tid=13146^","ClearCanvas Workstation")</f>
        <v>ClearCanvas Workstation</v>
      </c>
      <c r="B7625" s="4" t="s">
        <v>7654</v>
      </c>
      <c r="C7625" s="8" t="s">
        <v>5</v>
      </c>
      <c r="D7625" s="11" t="s">
        <v>7655</v>
      </c>
    </row>
    <row r="7626" spans="1:4" ht="30">
      <c r="A7626" s="5" t="str">
        <f>HYPERLINK("https://www.oit.va.gov/Services/TRM/ToolPage.aspx?tid=16757^","aCOLyte 3")</f>
        <v>aCOLyte 3</v>
      </c>
      <c r="B7626" s="4" t="s">
        <v>5610</v>
      </c>
      <c r="C7626" s="8" t="s">
        <v>5</v>
      </c>
      <c r="D7626" s="11" t="s">
        <v>2827</v>
      </c>
    </row>
    <row r="7627" spans="1:4" ht="30">
      <c r="A7627" s="5" t="str">
        <f>HYPERLINK("https://www.oit.va.gov/Services/TRM/ToolPage.aspx?tid=16153^","Syncfusion Angular")</f>
        <v>Syncfusion Angular</v>
      </c>
      <c r="B7627" s="4" t="s">
        <v>1976</v>
      </c>
      <c r="C7627" s="8" t="s">
        <v>5</v>
      </c>
      <c r="D7627" s="11" t="s">
        <v>1977</v>
      </c>
    </row>
    <row r="7628" spans="1:4" ht="30">
      <c r="A7628" s="5" t="str">
        <f>HYPERLINK("https://www.oit.va.gov/Services/TRM/ToolPage.aspx?tid=8881^","KaleidaGraph")</f>
        <v>KaleidaGraph</v>
      </c>
      <c r="B7628" s="4" t="s">
        <v>2705</v>
      </c>
      <c r="C7628" s="8" t="s">
        <v>5</v>
      </c>
      <c r="D7628" s="11" t="s">
        <v>2145</v>
      </c>
    </row>
    <row r="7629" spans="1:4" ht="30">
      <c r="A7629" s="5" t="str">
        <f>HYPERLINK("https://www.oit.va.gov/Services/TRM/ToolPage.aspx?tid=8115^","GeneTools Analysis Software")</f>
        <v>GeneTools Analysis Software</v>
      </c>
      <c r="B7629" s="4" t="s">
        <v>7970</v>
      </c>
      <c r="C7629" s="8" t="s">
        <v>5</v>
      </c>
      <c r="D7629" s="11" t="s">
        <v>7971</v>
      </c>
    </row>
    <row r="7630" spans="1:4" ht="30">
      <c r="A7630" s="5" t="str">
        <f>HYPERLINK("https://www.oit.va.gov/Services/TRM/ToolPage.aspx?tid=10123^","Sysdig Monitor")</f>
        <v>Sysdig Monitor</v>
      </c>
      <c r="B7630" s="4" t="s">
        <v>2320</v>
      </c>
      <c r="C7630" s="8" t="s">
        <v>5</v>
      </c>
      <c r="D7630" s="11" t="s">
        <v>2321</v>
      </c>
    </row>
    <row r="7631" spans="1:4" ht="30">
      <c r="A7631" s="5" t="str">
        <f>HYPERLINK("https://www.oit.va.gov/Services/TRM/ToolPage.aspx?tid=12953^","Autoruns")</f>
        <v>Autoruns</v>
      </c>
      <c r="B7631" s="4" t="s">
        <v>2093</v>
      </c>
      <c r="C7631" s="8" t="s">
        <v>5</v>
      </c>
      <c r="D7631" s="11" t="s">
        <v>2094</v>
      </c>
    </row>
    <row r="7632" spans="1:4" ht="30">
      <c r="A7632" s="5" t="str">
        <f>HYPERLINK("https://www.oit.va.gov/Services/TRM/ToolPage.aspx?tid=10949^","Disk2vhd (Virtual Hard Disk)")</f>
        <v>Disk2vhd (Virtual Hard Disk)</v>
      </c>
      <c r="B7632" s="4" t="s">
        <v>2093</v>
      </c>
      <c r="C7632" s="8" t="s">
        <v>5</v>
      </c>
      <c r="D7632" s="11" t="s">
        <v>5146</v>
      </c>
    </row>
    <row r="7633" spans="1:4" ht="30">
      <c r="A7633" s="5" t="str">
        <f>HYPERLINK("https://www.oit.va.gov/Services/TRM/ToolPage.aspx?tid=10424^","DiskView")</f>
        <v>DiskView</v>
      </c>
      <c r="B7633" s="4" t="s">
        <v>2093</v>
      </c>
      <c r="C7633" s="8" t="s">
        <v>5</v>
      </c>
      <c r="D7633" s="11" t="s">
        <v>3608</v>
      </c>
    </row>
    <row r="7634" spans="1:4" ht="30">
      <c r="A7634" s="5" t="str">
        <f>HYPERLINK("https://www.oit.va.gov/Services/TRM/ToolPage.aspx?tid=15191^","Process Explorer")</f>
        <v>Process Explorer</v>
      </c>
      <c r="B7634" s="4" t="s">
        <v>2093</v>
      </c>
      <c r="C7634" s="8" t="s">
        <v>5</v>
      </c>
      <c r="D7634" s="11" t="s">
        <v>8482</v>
      </c>
    </row>
    <row r="7635" spans="1:4" ht="30">
      <c r="A7635" s="5" t="str">
        <f>HYPERLINK("https://www.oit.va.gov/Services/TRM/ToolPage.aspx?tid=9486^","Sysmex Work Area Manager (WAM)")</f>
        <v>Sysmex Work Area Manager (WAM)</v>
      </c>
      <c r="B7635" s="4" t="s">
        <v>3014</v>
      </c>
      <c r="C7635" s="8" t="s">
        <v>5</v>
      </c>
      <c r="D7635" s="11" t="s">
        <v>1255</v>
      </c>
    </row>
    <row r="7636" spans="1:4" ht="30">
      <c r="A7636" s="5" t="str">
        <f>HYPERLINK("https://www.oit.va.gov/Services/TRM/ToolPage.aspx?tid=15418^","VenturiOne")</f>
        <v>VenturiOne</v>
      </c>
      <c r="B7636" s="4" t="s">
        <v>3014</v>
      </c>
      <c r="C7636" s="8" t="s">
        <v>5</v>
      </c>
      <c r="D7636" s="11" t="s">
        <v>3621</v>
      </c>
    </row>
    <row r="7637" spans="1:4" ht="30">
      <c r="A7637" s="5" t="str">
        <f>HYPERLINK("https://www.oit.va.gov/Services/TRM/ToolPage.aspx?tid=14461^","WinCDEmu")</f>
        <v>WinCDEmu</v>
      </c>
      <c r="B7637" s="4" t="s">
        <v>5594</v>
      </c>
      <c r="C7637" s="8" t="s">
        <v>5</v>
      </c>
      <c r="D7637" s="11" t="s">
        <v>3008</v>
      </c>
    </row>
    <row r="7638" spans="1:4" ht="30">
      <c r="A7638" s="5" t="str">
        <f>HYPERLINK("https://www.oit.va.gov/Services/TRM/ToolPage.aspx?tid=7464^","SigmaPlot")</f>
        <v>SigmaPlot</v>
      </c>
      <c r="B7638" s="4" t="s">
        <v>459</v>
      </c>
      <c r="C7638" s="8" t="s">
        <v>5</v>
      </c>
      <c r="D7638" s="11" t="s">
        <v>460</v>
      </c>
    </row>
    <row r="7639" spans="1:4" ht="30">
      <c r="A7639" s="5" t="str">
        <f>HYPERLINK("https://www.oit.va.gov/Services/TRM/ToolPage.aspx?tid=11042^","TableCurve 2D")</f>
        <v>TableCurve 2D</v>
      </c>
      <c r="B7639" s="4" t="s">
        <v>467</v>
      </c>
      <c r="C7639" s="8" t="s">
        <v>5</v>
      </c>
      <c r="D7639" s="11" t="s">
        <v>468</v>
      </c>
    </row>
    <row r="7640" spans="1:4" ht="30">
      <c r="A7640" s="5" t="str">
        <f>HYPERLINK("https://www.oit.va.gov/Services/TRM/ToolPage.aspx?tid=11043^","TableCurve 3D")</f>
        <v>TableCurve 3D</v>
      </c>
      <c r="B7640" s="4" t="s">
        <v>467</v>
      </c>
      <c r="C7640" s="8" t="s">
        <v>5</v>
      </c>
      <c r="D7640" s="11" t="s">
        <v>468</v>
      </c>
    </row>
    <row r="7641" spans="1:4" ht="30">
      <c r="A7641" s="5" t="str">
        <f>HYPERLINK("https://www.oit.va.gov/Services/TRM/ToolPage.aspx?tid=11041^","PeakFit")</f>
        <v>PeakFit</v>
      </c>
      <c r="B7641" s="4" t="s">
        <v>467</v>
      </c>
      <c r="C7641" s="8" t="s">
        <v>5</v>
      </c>
      <c r="D7641" s="11" t="s">
        <v>1075</v>
      </c>
    </row>
    <row r="7642" spans="1:4" ht="30">
      <c r="A7642" s="5" t="str">
        <f>HYPERLINK("https://www.oit.va.gov/Services/TRM/ToolPage.aspx?tid=11040^","SYSTAT")</f>
        <v>SYSTAT</v>
      </c>
      <c r="B7642" s="4" t="s">
        <v>467</v>
      </c>
      <c r="C7642" s="8" t="s">
        <v>5</v>
      </c>
      <c r="D7642" s="11" t="s">
        <v>1108</v>
      </c>
    </row>
    <row r="7643" spans="1:4" ht="30">
      <c r="A7643" s="5" t="str">
        <f>HYPERLINK("https://www.oit.va.gov/Services/TRM/ToolPage.aspx?tid=9078^","Systems Technology, Inc. Simulation (STISIM) Drive")</f>
        <v>Systems Technology, Inc. Simulation (STISIM) Drive</v>
      </c>
      <c r="B7643" s="4" t="s">
        <v>465</v>
      </c>
      <c r="C7643" s="8" t="s">
        <v>5</v>
      </c>
      <c r="D7643" s="11" t="s">
        <v>466</v>
      </c>
    </row>
    <row r="7644" spans="1:4" ht="30">
      <c r="A7644" s="5" t="str">
        <f>HYPERLINK("https://www.oit.va.gov/Services/TRM/ToolPage.aspx?tid=5995^","Hyena")</f>
        <v>Hyena</v>
      </c>
      <c r="B7644" s="4" t="s">
        <v>1607</v>
      </c>
      <c r="C7644" s="8" t="s">
        <v>5</v>
      </c>
      <c r="D7644" s="11" t="s">
        <v>355</v>
      </c>
    </row>
    <row r="7645" spans="1:4" ht="30">
      <c r="A7645" s="5" t="str">
        <f>HYPERLINK("https://www.oit.va.gov/Services/TRM/ToolPage.aspx?tid=10278^","DumpEvt")</f>
        <v>DumpEvt</v>
      </c>
      <c r="B7645" s="4" t="s">
        <v>1607</v>
      </c>
      <c r="C7645" s="8" t="s">
        <v>5</v>
      </c>
      <c r="D7645" s="11" t="s">
        <v>3268</v>
      </c>
    </row>
    <row r="7646" spans="1:4" ht="30">
      <c r="A7646" s="5" t="str">
        <f>HYPERLINK("https://www.oit.va.gov/Services/TRM/ToolPage.aspx?tid=7482^","SysTools BKF Repair")</f>
        <v>SysTools BKF Repair</v>
      </c>
      <c r="B7646" s="4" t="s">
        <v>8779</v>
      </c>
      <c r="C7646" s="8" t="s">
        <v>5</v>
      </c>
      <c r="D7646" s="11" t="s">
        <v>8776</v>
      </c>
    </row>
    <row r="7647" spans="1:4" ht="30">
      <c r="A7647" s="5" t="str">
        <f>HYPERLINK("https://www.oit.va.gov/Services/TRM/ToolPage.aspx?tid=7907^","EV for Physicians")</f>
        <v>EV for Physicians</v>
      </c>
      <c r="B7647" s="4" t="s">
        <v>7878</v>
      </c>
      <c r="C7647" s="8" t="s">
        <v>5</v>
      </c>
      <c r="D7647" s="11" t="s">
        <v>7098</v>
      </c>
    </row>
    <row r="7648" spans="1:4" ht="30">
      <c r="A7648" s="5" t="str">
        <f>HYPERLINK("https://www.oit.va.gov/Services/TRM/ToolPage.aspx?tid=8327^","Tableau Server")</f>
        <v>Tableau Server</v>
      </c>
      <c r="B7648" s="4" t="s">
        <v>870</v>
      </c>
      <c r="C7648" s="8" t="s">
        <v>5</v>
      </c>
      <c r="D7648" s="11" t="s">
        <v>871</v>
      </c>
    </row>
    <row r="7649" spans="1:4" ht="30">
      <c r="A7649" s="5" t="str">
        <f>HYPERLINK("https://www.oit.va.gov/Services/TRM/ToolPage.aspx?tid=6336^","Tableau Desktop")</f>
        <v>Tableau Desktop</v>
      </c>
      <c r="B7649" s="4" t="s">
        <v>870</v>
      </c>
      <c r="C7649" s="8" t="s">
        <v>5</v>
      </c>
      <c r="D7649" s="11" t="s">
        <v>3015</v>
      </c>
    </row>
    <row r="7650" spans="1:4" ht="30">
      <c r="A7650" s="5" t="str">
        <f>HYPERLINK("https://www.oit.va.gov/Services/TRM/ToolPage.aspx?tid=16027^","Tableau Python Server (TabPy)")</f>
        <v>Tableau Python Server (TabPy)</v>
      </c>
      <c r="B7650" s="4" t="s">
        <v>870</v>
      </c>
      <c r="C7650" s="8" t="s">
        <v>5</v>
      </c>
      <c r="D7650" s="11" t="s">
        <v>3573</v>
      </c>
    </row>
    <row r="7651" spans="1:4" ht="30">
      <c r="A7651" s="5" t="str">
        <f>HYPERLINK("https://www.oit.va.gov/Services/TRM/ToolPage.aspx?tid=13057^","Tableau Prep Builder")</f>
        <v>Tableau Prep Builder</v>
      </c>
      <c r="B7651" s="4" t="s">
        <v>870</v>
      </c>
      <c r="C7651" s="8" t="s">
        <v>5</v>
      </c>
      <c r="D7651" s="11" t="s">
        <v>4885</v>
      </c>
    </row>
    <row r="7652" spans="1:4" ht="30">
      <c r="A7652" s="5" t="str">
        <f>HYPERLINK("https://www.oit.va.gov/Services/TRM/ToolPage.aspx?tid=9096^","Tableau Add-In")</f>
        <v>Tableau Add-In</v>
      </c>
      <c r="B7652" s="4" t="s">
        <v>870</v>
      </c>
      <c r="C7652" s="8" t="s">
        <v>5</v>
      </c>
      <c r="D7652" s="11" t="s">
        <v>5545</v>
      </c>
    </row>
    <row r="7653" spans="1:4" ht="30">
      <c r="A7653" s="5" t="str">
        <f>HYPERLINK("https://www.oit.va.gov/Services/TRM/ToolPage.aspx?tid=5736^","Tableau Reader")</f>
        <v>Tableau Reader</v>
      </c>
      <c r="B7653" s="4" t="s">
        <v>870</v>
      </c>
      <c r="C7653" s="8" t="s">
        <v>5</v>
      </c>
      <c r="D7653" s="11" t="s">
        <v>2017</v>
      </c>
    </row>
    <row r="7654" spans="1:4" ht="30">
      <c r="A7654" s="5" t="str">
        <f>HYPERLINK("https://www.oit.va.gov/Services/TRM/ToolPage.aspx?tid=13031^","Tableau Web Data Connector (WDC)")</f>
        <v>Tableau Web Data Connector (WDC)</v>
      </c>
      <c r="B7654" s="4" t="s">
        <v>870</v>
      </c>
      <c r="C7654" s="8" t="s">
        <v>5</v>
      </c>
      <c r="D7654" s="11" t="s">
        <v>529</v>
      </c>
    </row>
    <row r="7655" spans="1:4" ht="30">
      <c r="A7655" s="5" t="str">
        <f>HYPERLINK("https://www.oit.va.gov/Services/TRM/ToolPage.aspx?tid=10961^","Tableau Logshark")</f>
        <v>Tableau Logshark</v>
      </c>
      <c r="B7655" s="4" t="s">
        <v>870</v>
      </c>
      <c r="C7655" s="8" t="s">
        <v>5</v>
      </c>
      <c r="D7655" s="11" t="s">
        <v>7209</v>
      </c>
    </row>
    <row r="7656" spans="1:4" ht="30">
      <c r="A7656" s="5" t="str">
        <f>HYPERLINK("https://www.oit.va.gov/Services/TRM/ToolPage.aspx?tid=16571^","Power BI Explorer")</f>
        <v>Power BI Explorer</v>
      </c>
      <c r="B7656" s="4" t="s">
        <v>4626</v>
      </c>
      <c r="C7656" s="8" t="s">
        <v>5</v>
      </c>
      <c r="D7656" s="11" t="s">
        <v>3856</v>
      </c>
    </row>
    <row r="7657" spans="1:4" ht="30">
      <c r="A7657" s="5" t="str">
        <f>HYPERLINK("https://www.oit.va.gov/Services/TRM/ToolPage.aspx?tid=11673^","Aeonix Contact Center")</f>
        <v>Aeonix Contact Center</v>
      </c>
      <c r="B7657" s="4" t="s">
        <v>3718</v>
      </c>
      <c r="C7657" s="8" t="s">
        <v>5</v>
      </c>
      <c r="D7657" s="11" t="s">
        <v>550</v>
      </c>
    </row>
    <row r="7658" spans="1:4" ht="30">
      <c r="A7658" s="5" t="str">
        <f>HYPERLINK("https://www.oit.va.gov/Services/TRM/ToolPage.aspx?tid=8114^","FlexSet Internet Protocol (FlexIP) Softphone (FLIPS)")</f>
        <v>FlexSet Internet Protocol (FlexIP) Softphone (FLIPS)</v>
      </c>
      <c r="B7658" s="4" t="s">
        <v>3718</v>
      </c>
      <c r="C7658" s="8" t="s">
        <v>5</v>
      </c>
      <c r="D7658" s="11" t="s">
        <v>2415</v>
      </c>
    </row>
    <row r="7659" spans="1:4" ht="30">
      <c r="A7659" s="5" t="str">
        <f>HYPERLINK("https://www.oit.va.gov/Services/TRM/ToolPage.aspx?tid=15026^","TagThatPhoto")</f>
        <v>TagThatPhoto</v>
      </c>
      <c r="B7659" s="4" t="s">
        <v>7211</v>
      </c>
      <c r="C7659" s="8" t="s">
        <v>5</v>
      </c>
      <c r="D7659" s="11" t="s">
        <v>6101</v>
      </c>
    </row>
    <row r="7660" spans="1:4" ht="30">
      <c r="A7660" s="5" t="str">
        <f>HYPERLINK("https://www.oit.va.gov/Services/TRM/ToolPage.aspx?tid=14469^","B-Coder")</f>
        <v>B-Coder</v>
      </c>
      <c r="B7660" s="4" t="s">
        <v>5675</v>
      </c>
      <c r="C7660" s="8" t="s">
        <v>5</v>
      </c>
      <c r="D7660" s="11" t="s">
        <v>5596</v>
      </c>
    </row>
    <row r="7661" spans="1:4" ht="30">
      <c r="A7661" s="5" t="str">
        <f>HYPERLINK("https://www.oit.va.gov/Services/TRM/ToolPage.aspx?tid=15353^","Talend Open Studio for Big Data")</f>
        <v>Talend Open Studio for Big Data</v>
      </c>
      <c r="B7661" s="4" t="s">
        <v>4889</v>
      </c>
      <c r="C7661" s="8" t="s">
        <v>5</v>
      </c>
      <c r="D7661" s="11" t="s">
        <v>4890</v>
      </c>
    </row>
    <row r="7662" spans="1:4" ht="30">
      <c r="A7662" s="5" t="str">
        <f>HYPERLINK("https://www.oit.va.gov/Services/TRM/ToolPage.aspx?tid=6444^","Talend Open Studio for Enterprise Service Bus (ESB)")</f>
        <v>Talend Open Studio for Enterprise Service Bus (ESB)</v>
      </c>
      <c r="B7662" s="4" t="s">
        <v>4889</v>
      </c>
      <c r="C7662" s="8" t="s">
        <v>5</v>
      </c>
      <c r="D7662" s="11" t="s">
        <v>1658</v>
      </c>
    </row>
    <row r="7663" spans="1:4" ht="30">
      <c r="A7663" s="5" t="str">
        <f>HYPERLINK("https://www.oit.va.gov/Services/TRM/ToolPage.aspx?tid=11802^","Talend Data Management Platform")</f>
        <v>Talend Data Management Platform</v>
      </c>
      <c r="B7663" s="4" t="s">
        <v>4889</v>
      </c>
      <c r="C7663" s="8" t="s">
        <v>5</v>
      </c>
      <c r="D7663" s="11" t="s">
        <v>59</v>
      </c>
    </row>
    <row r="7664" spans="1:4" ht="30">
      <c r="A7664" s="5" t="str">
        <f>HYPERLINK("https://www.oit.va.gov/Services/TRM/ToolPage.aspx?tid=16701^","Computerized Language Analysis (CLAN)")</f>
        <v>Computerized Language Analysis (CLAN)</v>
      </c>
      <c r="B7664" s="4" t="s">
        <v>3223</v>
      </c>
      <c r="C7664" s="8" t="s">
        <v>5</v>
      </c>
      <c r="D7664" s="11" t="s">
        <v>3224</v>
      </c>
    </row>
    <row r="7665" spans="1:4" ht="30">
      <c r="A7665" s="5" t="str">
        <f>HYPERLINK("https://www.oit.va.gov/Services/TRM/ToolPage.aspx?tid=10628^","OnSite Pro")</f>
        <v>OnSite Pro</v>
      </c>
      <c r="B7665" s="4" t="s">
        <v>4544</v>
      </c>
      <c r="C7665" s="8" t="s">
        <v>5</v>
      </c>
      <c r="D7665" s="11" t="s">
        <v>2515</v>
      </c>
    </row>
    <row r="7666" spans="1:4" ht="30">
      <c r="A7666" s="5" t="str">
        <f>HYPERLINK("https://www.oit.va.gov/Services/TRM/ToolPage.aspx?tid=6093^","MedKey Lite")</f>
        <v>MedKey Lite</v>
      </c>
      <c r="B7666" s="4" t="s">
        <v>4544</v>
      </c>
      <c r="C7666" s="8" t="s">
        <v>5</v>
      </c>
      <c r="D7666" s="11" t="s">
        <v>1926</v>
      </c>
    </row>
    <row r="7667" spans="1:4" ht="30">
      <c r="A7667" s="5" t="str">
        <f>HYPERLINK("https://www.oit.va.gov/Services/TRM/ToolPage.aspx?tid=8044^","t:connect Uploader")</f>
        <v>t:connect Uploader</v>
      </c>
      <c r="B7667" s="4" t="s">
        <v>1109</v>
      </c>
      <c r="C7667" s="8" t="s">
        <v>5</v>
      </c>
      <c r="D7667" s="11" t="s">
        <v>1110</v>
      </c>
    </row>
    <row r="7668" spans="1:4" ht="30">
      <c r="A7668" s="5" t="str">
        <f>HYPERLINK("https://www.oit.va.gov/Services/TRM/ToolPage.aspx?tid=16698^","Tandem Device Updater")</f>
        <v>Tandem Device Updater</v>
      </c>
      <c r="B7668" s="4" t="s">
        <v>1109</v>
      </c>
      <c r="C7668" s="8" t="s">
        <v>5</v>
      </c>
      <c r="D7668" s="11" t="s">
        <v>1988</v>
      </c>
    </row>
    <row r="7669" spans="1:4" ht="30">
      <c r="A7669" s="5" t="str">
        <f>HYPERLINK("https://www.oit.va.gov/Services/TRM/ToolPage.aspx?tid=16799^","Tango Reserve Data Management Utility (DMU)")</f>
        <v>Tango Reserve Data Management Utility (DMU)</v>
      </c>
      <c r="B7669" s="4" t="s">
        <v>4891</v>
      </c>
      <c r="C7669" s="8" t="s">
        <v>5</v>
      </c>
      <c r="D7669" s="11" t="s">
        <v>4892</v>
      </c>
    </row>
    <row r="7670" spans="1:4" ht="30">
      <c r="A7670" s="5" t="str">
        <f>HYPERLINK("https://www.oit.va.gov/Services/TRM/ToolPage.aspx?tid=8094^","Agilquest Workplace Management Software")</f>
        <v>Agilquest Workplace Management Software</v>
      </c>
      <c r="B7670" s="4" t="s">
        <v>4891</v>
      </c>
      <c r="C7670" s="8" t="s">
        <v>5</v>
      </c>
      <c r="D7670" s="11" t="s">
        <v>5618</v>
      </c>
    </row>
    <row r="7671" spans="1:4" ht="30">
      <c r="A7671" s="5" t="str">
        <f>HYPERLINK("https://www.oit.va.gov/Services/TRM/ToolPage.aspx?tid=15689^","Tango Tango")</f>
        <v>Tango Tango</v>
      </c>
      <c r="B7671" s="4" t="s">
        <v>6098</v>
      </c>
      <c r="C7671" s="8" t="s">
        <v>5</v>
      </c>
      <c r="D7671" s="11" t="s">
        <v>4252</v>
      </c>
    </row>
    <row r="7672" spans="1:4" ht="30">
      <c r="A7672" s="5" t="str">
        <f>HYPERLINK("https://www.oit.va.gov/Services/TRM/ToolPage.aspx?tid=15276^","Healthy Edge Lite")</f>
        <v>Healthy Edge Lite</v>
      </c>
      <c r="B7672" s="4" t="s">
        <v>5849</v>
      </c>
      <c r="C7672" s="8" t="s">
        <v>5</v>
      </c>
      <c r="D7672" s="11" t="s">
        <v>5850</v>
      </c>
    </row>
    <row r="7673" spans="1:4" ht="30">
      <c r="A7673" s="5" t="str">
        <f>HYPERLINK("https://www.oit.va.gov/Services/TRM/ToolPage.aspx?tid=6410^","Java Service Wrapper")</f>
        <v>Java Service Wrapper</v>
      </c>
      <c r="B7673" s="4" t="s">
        <v>2684</v>
      </c>
      <c r="C7673" s="8" t="s">
        <v>5</v>
      </c>
      <c r="D7673" s="11" t="s">
        <v>753</v>
      </c>
    </row>
    <row r="7674" spans="1:4" ht="30">
      <c r="A7674" s="5" t="str">
        <f>HYPERLINK("https://www.oit.va.gov/Services/TRM/ToolPage.aspx?tid=6152^","TapeCalc")</f>
        <v>TapeCalc</v>
      </c>
      <c r="B7674" s="4" t="s">
        <v>6211</v>
      </c>
      <c r="C7674" s="8" t="s">
        <v>5</v>
      </c>
      <c r="D7674" s="11" t="s">
        <v>6212</v>
      </c>
    </row>
    <row r="7675" spans="1:4" ht="30">
      <c r="A7675" s="5" t="str">
        <f>HYPERLINK("https://www.oit.va.gov/Services/TRM/ToolPage.aspx?tid=5838^","SQLite Java Database Connectivity (JDBC)")</f>
        <v>SQLite Java Database Connectivity (JDBC)</v>
      </c>
      <c r="B7675" s="4" t="s">
        <v>3553</v>
      </c>
      <c r="C7675" s="8" t="s">
        <v>5</v>
      </c>
      <c r="D7675" s="11" t="s">
        <v>3554</v>
      </c>
    </row>
    <row r="7676" spans="1:4" ht="30">
      <c r="A7676" s="5" t="str">
        <f>HYPERLINK("https://www.oit.va.gov/Services/TRM/ToolPage.aspx?tid=15762^","HandCal Clinician")</f>
        <v>HandCal Clinician</v>
      </c>
      <c r="B7676" s="4" t="s">
        <v>4204</v>
      </c>
      <c r="C7676" s="8" t="s">
        <v>5</v>
      </c>
      <c r="D7676" s="11" t="s">
        <v>487</v>
      </c>
    </row>
    <row r="7677" spans="1:4" ht="30">
      <c r="A7677" s="5" t="str">
        <f>HYPERLINK("https://www.oit.va.gov/Services/TRM/ToolPage.aspx?tid=15642^","Planview Viz")</f>
        <v>Planview Viz</v>
      </c>
      <c r="B7677" s="4" t="s">
        <v>4613</v>
      </c>
      <c r="C7677" s="8" t="s">
        <v>5</v>
      </c>
      <c r="D7677" s="11" t="s">
        <v>2022</v>
      </c>
    </row>
    <row r="7678" spans="1:4" ht="30">
      <c r="A7678" s="5" t="str">
        <f>HYPERLINK("https://www.oit.va.gov/Services/TRM/ToolPage.aspx?tid=5627^","iMedConsent")</f>
        <v>iMedConsent</v>
      </c>
      <c r="B7678" s="4" t="s">
        <v>1624</v>
      </c>
      <c r="C7678" s="8" t="s">
        <v>5</v>
      </c>
      <c r="D7678" s="11" t="s">
        <v>1625</v>
      </c>
    </row>
    <row r="7679" spans="1:4" ht="30">
      <c r="A7679" s="5" t="str">
        <f>HYPERLINK("https://www.oit.va.gov/Services/TRM/ToolPage.aspx?tid=16803^","iMedConsent Web (ICW)")</f>
        <v>iMedConsent Web (ICW)</v>
      </c>
      <c r="B7679" s="4" t="s">
        <v>1624</v>
      </c>
      <c r="C7679" s="8" t="s">
        <v>5</v>
      </c>
      <c r="D7679" s="11" t="s">
        <v>2666</v>
      </c>
    </row>
    <row r="7680" spans="1:4" ht="30">
      <c r="A7680" s="5" t="str">
        <f>HYPERLINK("https://www.oit.va.gov/Services/TRM/ToolPage.aspx?tid=16775^","Taylor Signature Capture Application (SCA)")</f>
        <v>Taylor Signature Capture Application (SCA)</v>
      </c>
      <c r="B7680" s="4" t="s">
        <v>1624</v>
      </c>
      <c r="C7680" s="8" t="s">
        <v>5</v>
      </c>
      <c r="D7680" s="11" t="s">
        <v>362</v>
      </c>
    </row>
    <row r="7681" spans="1:4" ht="30">
      <c r="A7681" s="5" t="str">
        <f>HYPERLINK("https://www.oit.va.gov/Services/TRM/ToolPage.aspx?tid=7015^","TimeClock Plus Web Edition")</f>
        <v>TimeClock Plus Web Edition</v>
      </c>
      <c r="B7681" s="4" t="s">
        <v>4912</v>
      </c>
      <c r="C7681" s="8" t="s">
        <v>5</v>
      </c>
      <c r="D7681" s="11" t="s">
        <v>273</v>
      </c>
    </row>
    <row r="7682" spans="1:4" ht="30">
      <c r="A7682" s="5" t="str">
        <f>HYPERLINK("https://www.oit.va.gov/Services/TRM/ToolPage.aspx?tid=13278^","tcpdump")</f>
        <v>tcpdump</v>
      </c>
      <c r="B7682" s="4" t="s">
        <v>7212</v>
      </c>
      <c r="C7682" s="8" t="s">
        <v>5</v>
      </c>
      <c r="D7682" s="11" t="s">
        <v>2027</v>
      </c>
    </row>
    <row r="7683" spans="1:4" ht="30">
      <c r="A7683" s="5" t="str">
        <f>HYPERLINK("https://www.oit.va.gov/Services/TRM/ToolPage.aspx?tid=8592^","ConsoleWorks Server")</f>
        <v>ConsoleWorks Server</v>
      </c>
      <c r="B7683" s="4" t="s">
        <v>5733</v>
      </c>
      <c r="C7683" s="8" t="s">
        <v>5</v>
      </c>
      <c r="D7683" s="11" t="s">
        <v>965</v>
      </c>
    </row>
    <row r="7684" spans="1:4" ht="30">
      <c r="A7684" s="5" t="str">
        <f>HYPERLINK("https://www.oit.va.gov/Services/TRM/ToolPage.aspx?tid=6153^","Teachers College (TC) Web Conferencing")</f>
        <v>Teachers College (TC) Web Conferencing</v>
      </c>
      <c r="B7684" s="4" t="s">
        <v>8781</v>
      </c>
      <c r="C7684" s="8" t="s">
        <v>5</v>
      </c>
      <c r="D7684" s="11" t="s">
        <v>7165</v>
      </c>
    </row>
    <row r="7685" spans="1:4" ht="30">
      <c r="A7685" s="5" t="str">
        <f>HYPERLINK("https://www.oit.va.gov/Services/TRM/ToolPage.aspx?tid=7393^","TeamViewer")</f>
        <v>TeamViewer</v>
      </c>
      <c r="B7685" s="4" t="s">
        <v>2322</v>
      </c>
      <c r="C7685" s="8" t="s">
        <v>5</v>
      </c>
      <c r="D7685" s="11" t="s">
        <v>2323</v>
      </c>
    </row>
    <row r="7686" spans="1:4" ht="30">
      <c r="A7686" s="5" t="str">
        <f>HYPERLINK("https://www.oit.va.gov/Services/TRM/ToolPage.aspx?tid=14024^","Inspiration 11")</f>
        <v>Inspiration 11</v>
      </c>
      <c r="B7686" s="4" t="s">
        <v>5875</v>
      </c>
      <c r="C7686" s="8" t="s">
        <v>5</v>
      </c>
      <c r="D7686" s="11" t="s">
        <v>4380</v>
      </c>
    </row>
    <row r="7687" spans="1:4" ht="30">
      <c r="A7687" s="5" t="str">
        <f>HYPERLINK("https://www.oit.va.gov/Services/TRM/ToolPage.aspx?tid=13924^","Msoft")</f>
        <v>Msoft</v>
      </c>
      <c r="B7687" s="4" t="s">
        <v>5957</v>
      </c>
      <c r="C7687" s="8" t="s">
        <v>5</v>
      </c>
      <c r="D7687" s="11" t="s">
        <v>2041</v>
      </c>
    </row>
    <row r="7688" spans="1:4" ht="30">
      <c r="A7688" s="5" t="str">
        <f>HYPERLINK("https://www.oit.va.gov/Services/TRM/ToolPage.aspx?tid=9070^","Mobile Architecture for Communications Handling (MACH)")</f>
        <v>Mobile Architecture for Communications Handling (MACH)</v>
      </c>
      <c r="B7688" s="4" t="s">
        <v>3394</v>
      </c>
      <c r="C7688" s="8" t="s">
        <v>5</v>
      </c>
      <c r="D7688" s="11" t="s">
        <v>3395</v>
      </c>
    </row>
    <row r="7689" spans="1:4" ht="30">
      <c r="A7689" s="5" t="str">
        <f>HYPERLINK("https://www.oit.va.gov/Services/TRM/ToolPage.aspx?tid=8369^","Traffic and Criminal Software (TraCS)")</f>
        <v>Traffic and Criminal Software (TraCS)</v>
      </c>
      <c r="B7689" s="4" t="s">
        <v>3394</v>
      </c>
      <c r="C7689" s="8" t="s">
        <v>5</v>
      </c>
      <c r="D7689" s="11" t="s">
        <v>3581</v>
      </c>
    </row>
    <row r="7690" spans="1:4" ht="30">
      <c r="A7690" s="5" t="str">
        <f>HYPERLINK("https://www.oit.va.gov/Services/TRM/ToolPage.aspx?tid=13002^","EntryPoint")</f>
        <v>EntryPoint</v>
      </c>
      <c r="B7690" s="4" t="s">
        <v>5792</v>
      </c>
      <c r="C7690" s="8" t="s">
        <v>5</v>
      </c>
      <c r="D7690" s="11" t="s">
        <v>5678</v>
      </c>
    </row>
    <row r="7691" spans="1:4" ht="30">
      <c r="A7691" s="5" t="str">
        <f>HYPERLINK("https://www.oit.va.gov/Services/TRM/ToolPage.aspx?tid=15574^","TechPowerUp GPU-Z")</f>
        <v>TechPowerUp GPU-Z</v>
      </c>
      <c r="B7691" s="4" t="s">
        <v>8782</v>
      </c>
      <c r="C7691" s="8" t="s">
        <v>5</v>
      </c>
      <c r="D7691" s="11" t="s">
        <v>7365</v>
      </c>
    </row>
    <row r="7692" spans="1:4" ht="30">
      <c r="A7692" s="5" t="str">
        <f>HYPERLINK("https://www.oit.va.gov/Services/TRM/ToolPage.aspx?tid=6419^","Camtasia")</f>
        <v>Camtasia</v>
      </c>
      <c r="B7692" s="4" t="s">
        <v>607</v>
      </c>
      <c r="C7692" s="8" t="s">
        <v>5</v>
      </c>
      <c r="D7692" s="11" t="s">
        <v>608</v>
      </c>
    </row>
    <row r="7693" spans="1:4" ht="30">
      <c r="A7693" s="5" t="str">
        <f>HYPERLINK("https://www.oit.va.gov/Services/TRM/ToolPage.aspx?tid=7813^","Morae")</f>
        <v>Morae</v>
      </c>
      <c r="B7693" s="4" t="s">
        <v>607</v>
      </c>
      <c r="C7693" s="8" t="s">
        <v>5</v>
      </c>
      <c r="D7693" s="11" t="s">
        <v>769</v>
      </c>
    </row>
    <row r="7694" spans="1:4" ht="30">
      <c r="A7694" s="5" t="str">
        <f>HYPERLINK("https://www.oit.va.gov/Services/TRM/ToolPage.aspx?tid=5122^","Snagit")</f>
        <v>Snagit</v>
      </c>
      <c r="B7694" s="4" t="s">
        <v>607</v>
      </c>
      <c r="C7694" s="8" t="s">
        <v>5</v>
      </c>
      <c r="D7694" s="11" t="s">
        <v>1117</v>
      </c>
    </row>
    <row r="7695" spans="1:4" ht="30">
      <c r="A7695" s="5" t="str">
        <f>HYPERLINK("https://www.oit.va.gov/Services/TRM/ToolPage.aspx?tid=16806^","Audiate")</f>
        <v>Audiate</v>
      </c>
      <c r="B7695" s="4" t="s">
        <v>607</v>
      </c>
      <c r="C7695" s="8" t="s">
        <v>5</v>
      </c>
      <c r="D7695" s="11" t="s">
        <v>1558</v>
      </c>
    </row>
    <row r="7696" spans="1:4" ht="30">
      <c r="A7696" s="5" t="str">
        <f>HYPERLINK("https://www.oit.va.gov/Services/TRM/ToolPage.aspx?tid=8385^","Jing")</f>
        <v>Jing</v>
      </c>
      <c r="B7696" s="4" t="s">
        <v>607</v>
      </c>
      <c r="C7696" s="8" t="s">
        <v>5</v>
      </c>
      <c r="D7696" s="11" t="s">
        <v>6750</v>
      </c>
    </row>
    <row r="7697" spans="1:4" ht="30">
      <c r="A7697" s="5" t="str">
        <f>HYPERLINK("https://www.oit.va.gov/Services/TRM/ToolPage.aspx?tid=15021^","Digital Ventilated Cages (DVC) Server")</f>
        <v>Digital Ventilated Cages (DVC) Server</v>
      </c>
      <c r="B7697" s="4" t="s">
        <v>4018</v>
      </c>
      <c r="C7697" s="8" t="s">
        <v>5</v>
      </c>
      <c r="D7697" s="11" t="s">
        <v>979</v>
      </c>
    </row>
    <row r="7698" spans="1:4" ht="30">
      <c r="A7698" s="5" t="str">
        <f>HYPERLINK("https://www.oit.va.gov/Services/TRM/ToolPage.aspx?tid=15084^","Guardian by Tecniplast")</f>
        <v>Guardian by Tecniplast</v>
      </c>
      <c r="B7698" s="4" t="s">
        <v>4018</v>
      </c>
      <c r="C7698" s="8" t="s">
        <v>5</v>
      </c>
      <c r="D7698" s="11" t="s">
        <v>4199</v>
      </c>
    </row>
    <row r="7699" spans="1:4" ht="30">
      <c r="A7699" s="5" t="str">
        <f>HYPERLINK("https://www.oit.va.gov/Services/TRM/ToolPage.aspx?tid=10486^","Automated Cost Estimating Integrated Tools (ACEIT)")</f>
        <v>Automated Cost Estimating Integrated Tools (ACEIT)</v>
      </c>
      <c r="B7699" s="4" t="s">
        <v>375</v>
      </c>
      <c r="C7699" s="8" t="s">
        <v>5</v>
      </c>
      <c r="D7699" s="11" t="s">
        <v>376</v>
      </c>
    </row>
    <row r="7700" spans="1:4" ht="30">
      <c r="A7700" s="5" t="str">
        <f>HYPERLINK("https://www.oit.va.gov/Services/TRM/ToolPage.aspx?tid=11700^","Elite Healthcare Supply Chain Management (SCM)")</f>
        <v>Elite Healthcare Supply Chain Management (SCM)</v>
      </c>
      <c r="B7700" s="4" t="s">
        <v>208</v>
      </c>
      <c r="C7700" s="8" t="s">
        <v>5</v>
      </c>
      <c r="D7700" s="11" t="s">
        <v>209</v>
      </c>
    </row>
    <row r="7701" spans="1:4" ht="30">
      <c r="A7701" s="5" t="str">
        <f>HYPERLINK("https://www.oit.va.gov/Services/TRM/ToolPage.aspx?tid=13856^","Node-mssql")</f>
        <v>Node-mssql</v>
      </c>
      <c r="B7701" s="4" t="s">
        <v>8337</v>
      </c>
      <c r="C7701" s="8" t="s">
        <v>5</v>
      </c>
      <c r="D7701" s="11" t="s">
        <v>3412</v>
      </c>
    </row>
    <row r="7702" spans="1:4" ht="30">
      <c r="A7702" s="5" t="str">
        <f>HYPERLINK("https://www.oit.va.gov/Services/TRM/ToolPage.aspx?tid=10577^","TEKLYNX Label Matrix")</f>
        <v>TEKLYNX Label Matrix</v>
      </c>
      <c r="B7702" s="4" t="s">
        <v>6100</v>
      </c>
      <c r="C7702" s="8" t="s">
        <v>5</v>
      </c>
      <c r="D7702" s="11" t="s">
        <v>6101</v>
      </c>
    </row>
    <row r="7703" spans="1:4" ht="30">
      <c r="A7703" s="5" t="str">
        <f>HYPERLINK("https://www.oit.va.gov/Services/TRM/ToolPage.aspx?tid=8220^","CONFORMat")</f>
        <v>CONFORMat</v>
      </c>
      <c r="B7703" s="4" t="s">
        <v>5726</v>
      </c>
      <c r="C7703" s="8" t="s">
        <v>5</v>
      </c>
      <c r="D7703" s="11" t="s">
        <v>5727</v>
      </c>
    </row>
    <row r="7704" spans="1:4" ht="30">
      <c r="A7704" s="5" t="str">
        <f>HYPERLINK("https://www.oit.va.gov/Services/TRM/ToolPage.aspx?tid=14832^","FootMat Software for Clinicians")</f>
        <v>FootMat Software for Clinicians</v>
      </c>
      <c r="B7704" s="4" t="s">
        <v>5726</v>
      </c>
      <c r="C7704" s="8" t="s">
        <v>5</v>
      </c>
      <c r="D7704" s="11" t="s">
        <v>2274</v>
      </c>
    </row>
    <row r="7705" spans="1:4" ht="30">
      <c r="A7705" s="5" t="str">
        <f>HYPERLINK("https://www.oit.va.gov/Services/TRM/ToolPage.aspx?tid=12922^","Kickstart")</f>
        <v>Kickstart</v>
      </c>
      <c r="B7705" s="4" t="s">
        <v>8150</v>
      </c>
      <c r="C7705" s="8" t="s">
        <v>5</v>
      </c>
      <c r="D7705" s="11" t="s">
        <v>8151</v>
      </c>
    </row>
    <row r="7706" spans="1:4" ht="30">
      <c r="A7706" s="5" t="str">
        <f>HYPERLINK("https://www.oit.va.gov/Services/TRM/ToolPage.aspx?tid=14226^","Telcor Quick Multi Link (QML)")</f>
        <v>Telcor Quick Multi Link (QML)</v>
      </c>
      <c r="B7706" s="4" t="s">
        <v>6102</v>
      </c>
      <c r="C7706" s="8" t="s">
        <v>5</v>
      </c>
      <c r="D7706" s="11" t="s">
        <v>3737</v>
      </c>
    </row>
    <row r="7707" spans="1:4" ht="30">
      <c r="A7707" s="5" t="str">
        <f>HYPERLINK("https://www.oit.va.gov/Services/TRM/ToolPage.aspx?tid=5934^","Customer Experience Management (CXM) Media")</f>
        <v>Customer Experience Management (CXM) Media</v>
      </c>
      <c r="B7707" s="4" t="s">
        <v>3991</v>
      </c>
      <c r="C7707" s="8" t="s">
        <v>5</v>
      </c>
      <c r="D7707" s="11" t="s">
        <v>3992</v>
      </c>
    </row>
    <row r="7708" spans="1:4" ht="30">
      <c r="A7708" s="5" t="str">
        <f>HYPERLINK("https://www.oit.va.gov/Services/TRM/ToolPage.aspx?tid=9025^","Infinity Analyze")</f>
        <v>Infinity Analyze</v>
      </c>
      <c r="B7708" s="4" t="s">
        <v>5874</v>
      </c>
      <c r="C7708" s="8" t="s">
        <v>5</v>
      </c>
      <c r="D7708" s="11" t="s">
        <v>3115</v>
      </c>
    </row>
    <row r="7709" spans="1:4" ht="30">
      <c r="A7709" s="5" t="str">
        <f>HYPERLINK("https://www.oit.va.gov/Services/TRM/ToolPage.aspx?tid=11076^","Telegram Desktop")</f>
        <v>Telegram Desktop</v>
      </c>
      <c r="B7709" s="4" t="s">
        <v>7216</v>
      </c>
      <c r="C7709" s="8" t="s">
        <v>5</v>
      </c>
      <c r="D7709" s="11" t="s">
        <v>7217</v>
      </c>
    </row>
    <row r="7710" spans="1:4" ht="30">
      <c r="A7710" s="5" t="str">
        <f>HYPERLINK("https://www.oit.va.gov/Services/TRM/ToolPage.aspx?tid=14057^","Tigr AP")</f>
        <v>Tigr AP</v>
      </c>
      <c r="B7710" s="4" t="s">
        <v>6112</v>
      </c>
      <c r="C7710" s="8" t="s">
        <v>5</v>
      </c>
      <c r="D7710" s="11" t="s">
        <v>1915</v>
      </c>
    </row>
    <row r="7711" spans="1:4" ht="30">
      <c r="A7711" s="5" t="str">
        <f>HYPERLINK("https://www.oit.va.gov/Services/TRM/ToolPage.aspx?tid=7205^","Telemate Predictive Unified Communications (UC) Analytics")</f>
        <v>Telemate Predictive Unified Communications (UC) Analytics</v>
      </c>
      <c r="B7711" s="4" t="s">
        <v>58</v>
      </c>
      <c r="C7711" s="8" t="s">
        <v>5</v>
      </c>
      <c r="D7711" s="11" t="s">
        <v>59</v>
      </c>
    </row>
    <row r="7712" spans="1:4" ht="30">
      <c r="A7712" s="5" t="str">
        <f>HYPERLINK("https://www.oit.va.gov/Services/TRM/ToolPage.aspx?tid=16831^","Presidio Transplant Database")</f>
        <v>Presidio Transplant Database</v>
      </c>
      <c r="B7712" s="4" t="s">
        <v>4643</v>
      </c>
      <c r="C7712" s="8" t="s">
        <v>5</v>
      </c>
      <c r="D7712" s="11" t="s">
        <v>772</v>
      </c>
    </row>
    <row r="7713" spans="1:4" ht="30">
      <c r="A7713" s="5" t="str">
        <f>HYPERLINK("https://www.oit.va.gov/Services/TRM/ToolPage.aspx?tid=8040^","Telerik User Interface (UI) for Active Server Pages (ASP) .NET Asynchronous JavaScript and Extensible Markup Language (AJAX)")</f>
        <v>Telerik User Interface (UI) for Active Server Pages (ASP) .NET Asynchronous JavaScript and Extensible Markup Language (AJAX)</v>
      </c>
      <c r="B7713" s="4" t="s">
        <v>38</v>
      </c>
      <c r="C7713" s="8" t="s">
        <v>5</v>
      </c>
      <c r="D7713" s="11" t="s">
        <v>39</v>
      </c>
    </row>
    <row r="7714" spans="1:4" ht="30">
      <c r="A7714" s="5" t="str">
        <f>HYPERLINK("https://www.oit.va.gov/Services/TRM/ToolPage.aspx?tid=8035^","Kendo User Interface (UI)")</f>
        <v>Kendo User Interface (UI)</v>
      </c>
      <c r="B7714" s="4" t="s">
        <v>38</v>
      </c>
      <c r="C7714" s="8" t="s">
        <v>5</v>
      </c>
      <c r="D7714" s="11" t="s">
        <v>310</v>
      </c>
    </row>
    <row r="7715" spans="1:4" ht="30">
      <c r="A7715" s="5" t="str">
        <f>HYPERLINK("https://www.oit.va.gov/Services/TRM/ToolPage.aspx?tid=15713^","Telerik User Interface (UI) for Active Server Page (ASP).NET Model-View-Controller (MVC)")</f>
        <v>Telerik User Interface (UI) for Active Server Page (ASP).NET Model-View-Controller (MVC)</v>
      </c>
      <c r="B7715" s="4" t="s">
        <v>38</v>
      </c>
      <c r="C7715" s="8" t="s">
        <v>5</v>
      </c>
      <c r="D7715" s="11" t="s">
        <v>540</v>
      </c>
    </row>
    <row r="7716" spans="1:4" ht="30">
      <c r="A7716" s="5" t="str">
        <f>HYPERLINK("https://www.oit.va.gov/Services/TRM/ToolPage.aspx?tid=6759^","Fiddler")</f>
        <v>Fiddler</v>
      </c>
      <c r="B7716" s="4" t="s">
        <v>38</v>
      </c>
      <c r="C7716" s="8" t="s">
        <v>5</v>
      </c>
      <c r="D7716" s="11" t="s">
        <v>685</v>
      </c>
    </row>
    <row r="7717" spans="1:4" ht="30">
      <c r="A7717" s="5" t="str">
        <f>HYPERLINK("https://www.oit.va.gov/Services/TRM/ToolPage.aspx?tid=8186^","Telerik Reporting")</f>
        <v>Telerik Reporting</v>
      </c>
      <c r="B7717" s="4" t="s">
        <v>38</v>
      </c>
      <c r="C7717" s="8" t="s">
        <v>5</v>
      </c>
      <c r="D7717" s="11" t="s">
        <v>872</v>
      </c>
    </row>
    <row r="7718" spans="1:4" ht="30">
      <c r="A7718" s="5" t="str">
        <f>HYPERLINK("https://www.oit.va.gov/Services/TRM/ToolPage.aspx?tid=11172^","Telerik Control Panel")</f>
        <v>Telerik Control Panel</v>
      </c>
      <c r="B7718" s="4" t="s">
        <v>38</v>
      </c>
      <c r="C7718" s="8" t="s">
        <v>5</v>
      </c>
      <c r="D7718" s="11" t="s">
        <v>240</v>
      </c>
    </row>
    <row r="7719" spans="1:4" ht="30">
      <c r="A7719" s="5" t="str">
        <f>HYPERLINK("https://www.oit.va.gov/Services/TRM/ToolPage.aspx?tid=14754^","Telerik Test Studio")</f>
        <v>Telerik Test Studio</v>
      </c>
      <c r="B7719" s="4" t="s">
        <v>38</v>
      </c>
      <c r="C7719" s="8" t="s">
        <v>5</v>
      </c>
      <c r="D7719" s="11" t="s">
        <v>3019</v>
      </c>
    </row>
    <row r="7720" spans="1:4" ht="30">
      <c r="A7720" s="5" t="str">
        <f>HYPERLINK("https://www.oit.va.gov/Services/TRM/ToolPage.aspx?tid=8099^","Data Access")</f>
        <v>Data Access</v>
      </c>
      <c r="B7720" s="4" t="s">
        <v>38</v>
      </c>
      <c r="C7720" s="8" t="s">
        <v>5</v>
      </c>
      <c r="D7720" s="11" t="s">
        <v>1157</v>
      </c>
    </row>
    <row r="7721" spans="1:4" ht="30">
      <c r="A7721" s="5" t="str">
        <f>HYPERLINK("https://www.oit.va.gov/Services/TRM/ToolPage.aspx?tid=8373^","User Interface (UI) for Windows Presentation Foundation (WPF)")</f>
        <v>User Interface (UI) for Windows Presentation Foundation (WPF)</v>
      </c>
      <c r="B7721" s="4" t="s">
        <v>38</v>
      </c>
      <c r="C7721" s="8" t="s">
        <v>5</v>
      </c>
      <c r="D7721" s="11" t="s">
        <v>3608</v>
      </c>
    </row>
    <row r="7722" spans="1:4" ht="30">
      <c r="A7722" s="5" t="str">
        <f>HYPERLINK("https://www.oit.va.gov/Services/TRM/ToolPage.aspx?tid=9516^","User Interface (UI) for Silverlight")</f>
        <v>User Interface (UI) for Silverlight</v>
      </c>
      <c r="B7722" s="4" t="s">
        <v>38</v>
      </c>
      <c r="C7722" s="8" t="s">
        <v>5</v>
      </c>
      <c r="D7722" s="11" t="s">
        <v>3251</v>
      </c>
    </row>
    <row r="7723" spans="1:4" ht="30">
      <c r="A7723" s="5" t="str">
        <f>HYPERLINK("https://www.oit.va.gov/Services/TRM/ToolPage.aspx?tid=9562^","TeleScript Audio Visual (AV)")</f>
        <v>TeleScript Audio Visual (AV)</v>
      </c>
      <c r="B7723" s="4" t="s">
        <v>470</v>
      </c>
      <c r="C7723" s="8" t="s">
        <v>5</v>
      </c>
      <c r="D7723" s="11" t="s">
        <v>301</v>
      </c>
    </row>
    <row r="7724" spans="1:4" ht="30">
      <c r="A7724" s="5" t="str">
        <f>HYPERLINK("https://www.oit.va.gov/Services/TRM/ToolPage.aspx?tid=15725^","Telestream Aurora")</f>
        <v>Telestream Aurora</v>
      </c>
      <c r="B7724" s="4" t="s">
        <v>1993</v>
      </c>
      <c r="C7724" s="8" t="s">
        <v>5</v>
      </c>
      <c r="D7724" s="11" t="s">
        <v>1115</v>
      </c>
    </row>
    <row r="7725" spans="1:4" ht="30">
      <c r="A7725" s="5" t="str">
        <f>HYPERLINK("https://www.oit.va.gov/Services/TRM/ToolPage.aspx?tid=7317^","CaptionMaker")</f>
        <v>CaptionMaker</v>
      </c>
      <c r="B7725" s="4" t="s">
        <v>1993</v>
      </c>
      <c r="C7725" s="8" t="s">
        <v>5</v>
      </c>
      <c r="D7725" s="11" t="s">
        <v>2440</v>
      </c>
    </row>
    <row r="7726" spans="1:4" ht="30">
      <c r="A7726" s="5" t="str">
        <f>HYPERLINK("https://www.oit.va.gov/Services/TRM/ToolPage.aspx?tid=12952^","Flip4Mac")</f>
        <v>Flip4Mac</v>
      </c>
      <c r="B7726" s="4" t="s">
        <v>1993</v>
      </c>
      <c r="C7726" s="8" t="s">
        <v>5</v>
      </c>
      <c r="D7726" s="11" t="s">
        <v>7933</v>
      </c>
    </row>
    <row r="7727" spans="1:4" ht="30">
      <c r="A7727" s="5" t="str">
        <f>HYPERLINK("https://www.oit.va.gov/Services/TRM/ToolPage.aspx?tid=12866^","TransportTracking")</f>
        <v>TransportTracking</v>
      </c>
      <c r="B7727" s="4" t="s">
        <v>4926</v>
      </c>
      <c r="C7727" s="8" t="s">
        <v>5</v>
      </c>
      <c r="D7727" s="11" t="s">
        <v>2932</v>
      </c>
    </row>
    <row r="7728" spans="1:4" ht="30">
      <c r="A7728" s="5" t="str">
        <f>HYPERLINK("https://www.oit.va.gov/Services/TRM/ToolPage.aspx?tid=13367^","Qpath")</f>
        <v>Qpath</v>
      </c>
      <c r="B7728" s="4" t="s">
        <v>8510</v>
      </c>
      <c r="C7728" s="8" t="s">
        <v>5</v>
      </c>
      <c r="D7728" s="11" t="s">
        <v>8511</v>
      </c>
    </row>
    <row r="7729" spans="1:4" ht="30">
      <c r="A7729" s="5" t="str">
        <f>HYPERLINK("https://www.oit.va.gov/Services/TRM/ToolPage.aspx?tid=13107^","CxEngage")</f>
        <v>CxEngage</v>
      </c>
      <c r="B7729" s="4" t="s">
        <v>7718</v>
      </c>
      <c r="C7729" s="8" t="s">
        <v>5</v>
      </c>
      <c r="D7729" s="11" t="s">
        <v>6529</v>
      </c>
    </row>
    <row r="7730" spans="1:4" ht="30">
      <c r="A7730" s="5" t="str">
        <f>HYPERLINK("https://www.oit.va.gov/Services/TRM/ToolPage.aspx?tid=8139^","WebRTC Plugins")</f>
        <v>WebRTC Plugins</v>
      </c>
      <c r="B7730" s="4" t="s">
        <v>7319</v>
      </c>
      <c r="C7730" s="8" t="s">
        <v>5</v>
      </c>
      <c r="D7730" s="11" t="s">
        <v>6596</v>
      </c>
    </row>
    <row r="7731" spans="1:4" ht="30">
      <c r="A7731" s="5" t="str">
        <f>HYPERLINK("https://www.oit.va.gov/Services/TRM/ToolPage.aspx?tid=8333^","Accessaphone")</f>
        <v>Accessaphone</v>
      </c>
      <c r="B7731" s="4" t="s">
        <v>2211</v>
      </c>
      <c r="C7731" s="8" t="s">
        <v>5</v>
      </c>
      <c r="D7731" s="11" t="s">
        <v>2212</v>
      </c>
    </row>
    <row r="7732" spans="1:4" ht="30">
      <c r="A7732" s="5" t="str">
        <f>HYPERLINK("https://www.oit.va.gov/Services/TRM/ToolPage.aspx?tid=13811^","Tencent QQ")</f>
        <v>Tencent QQ</v>
      </c>
      <c r="B7732" s="4" t="s">
        <v>8791</v>
      </c>
      <c r="C7732" s="8" t="s">
        <v>5</v>
      </c>
      <c r="D7732" s="11" t="s">
        <v>7146</v>
      </c>
    </row>
    <row r="7733" spans="1:4" ht="30">
      <c r="A7733" s="5" t="str">
        <f>HYPERLINK("https://www.oit.va.gov/Services/TRM/ToolPage.aspx?tid=14151^","Tenorshare Ultdata")</f>
        <v>Tenorshare Ultdata</v>
      </c>
      <c r="B7733" s="4" t="s">
        <v>8792</v>
      </c>
      <c r="C7733" s="8" t="s">
        <v>5</v>
      </c>
      <c r="D7733" s="11" t="s">
        <v>8793</v>
      </c>
    </row>
    <row r="7734" spans="1:4" ht="30">
      <c r="A7734" s="5" t="str">
        <f>HYPERLINK("https://www.oit.va.gov/Services/TRM/ToolPage.aspx?tid=16721^","Tensor Toolbox for MATLAB")</f>
        <v>Tensor Toolbox for MATLAB</v>
      </c>
      <c r="B7734" s="4" t="s">
        <v>8794</v>
      </c>
      <c r="C7734" s="8" t="s">
        <v>5</v>
      </c>
      <c r="D7734" s="11" t="s">
        <v>8795</v>
      </c>
    </row>
    <row r="7735" spans="1:4" ht="30">
      <c r="A7735" s="5" t="str">
        <f>HYPERLINK("https://www.oit.va.gov/Services/TRM/ToolPage.aspx?tid=16744^","Tensorlab")</f>
        <v>Tensorlab</v>
      </c>
      <c r="B7735" s="4" t="s">
        <v>8796</v>
      </c>
      <c r="C7735" s="8" t="s">
        <v>5</v>
      </c>
      <c r="D7735" s="11" t="s">
        <v>2408</v>
      </c>
    </row>
    <row r="7736" spans="1:4" ht="30">
      <c r="A7736" s="5" t="str">
        <f>HYPERLINK("https://www.oit.va.gov/Services/TRM/ToolPage.aspx?tid=8007^","Tera Term")</f>
        <v>Tera Term</v>
      </c>
      <c r="B7736" s="4" t="s">
        <v>7218</v>
      </c>
      <c r="C7736" s="8" t="s">
        <v>5</v>
      </c>
      <c r="D7736" s="11" t="s">
        <v>5443</v>
      </c>
    </row>
    <row r="7737" spans="1:4" ht="30">
      <c r="A7737" s="5" t="str">
        <f>HYPERLINK("https://www.oit.va.gov/Services/TRM/ToolPage.aspx?tid=9235^","Aquarius iNtuition (AQi) Client Viewer")</f>
        <v>Aquarius iNtuition (AQi) Client Viewer</v>
      </c>
      <c r="B7737" s="4" t="s">
        <v>2381</v>
      </c>
      <c r="C7737" s="8" t="s">
        <v>5</v>
      </c>
      <c r="D7737" s="11" t="s">
        <v>2382</v>
      </c>
    </row>
    <row r="7738" spans="1:4" ht="30">
      <c r="A7738" s="5" t="str">
        <f>HYPERLINK("https://www.oit.va.gov/Services/TRM/ToolPage.aspx?tid=7689^","Terminal Server Printing (TSPrint)")</f>
        <v>Terminal Server Printing (TSPrint)</v>
      </c>
      <c r="B7738" s="4" t="s">
        <v>3020</v>
      </c>
      <c r="C7738" s="8" t="s">
        <v>5</v>
      </c>
      <c r="D7738" s="11" t="s">
        <v>719</v>
      </c>
    </row>
    <row r="7739" spans="1:4" ht="30">
      <c r="A7739" s="5" t="str">
        <f>HYPERLINK("https://www.oit.va.gov/Services/TRM/ToolPage.aspx?tid=5000^","Quartz Job Scheduler")</f>
        <v>Quartz Job Scheduler</v>
      </c>
      <c r="B7739" s="4" t="s">
        <v>7052</v>
      </c>
      <c r="C7739" s="8" t="s">
        <v>5</v>
      </c>
      <c r="D7739" s="11" t="s">
        <v>7053</v>
      </c>
    </row>
    <row r="7740" spans="1:4" ht="30">
      <c r="A7740" s="5" t="str">
        <f>HYPERLINK("https://www.oit.va.gov/Services/TRM/ToolPage.aspx?tid=7900^","TerraGo Toolbar")</f>
        <v>TerraGo Toolbar</v>
      </c>
      <c r="B7740" s="4" t="s">
        <v>5548</v>
      </c>
      <c r="C7740" s="8" t="s">
        <v>5</v>
      </c>
      <c r="D7740" s="11" t="s">
        <v>5278</v>
      </c>
    </row>
    <row r="7741" spans="1:4" ht="30">
      <c r="A7741" s="5" t="str">
        <f>HYPERLINK("https://www.oit.va.gov/Services/TRM/ToolPage.aspx?tid=10328^","Python-CRFSuite")</f>
        <v>Python-CRFSuite</v>
      </c>
      <c r="B7741" s="4" t="s">
        <v>8500</v>
      </c>
      <c r="C7741" s="8" t="s">
        <v>5</v>
      </c>
      <c r="D7741" s="11" t="s">
        <v>8501</v>
      </c>
    </row>
    <row r="7742" spans="1:4" ht="30">
      <c r="A7742" s="5" t="str">
        <f>HYPERLINK("https://www.oit.va.gov/Services/TRM/ToolPage.aspx?tid=9572^","DAKS Desktop Client (DDC)")</f>
        <v>DAKS Desktop Client (DDC)</v>
      </c>
      <c r="B7742" s="4" t="s">
        <v>5129</v>
      </c>
      <c r="C7742" s="8" t="s">
        <v>5</v>
      </c>
      <c r="D7742" s="11" t="s">
        <v>640</v>
      </c>
    </row>
    <row r="7743" spans="1:4" ht="30">
      <c r="A7743" s="5" t="str">
        <f>HYPERLINK("https://www.oit.va.gov/Services/TRM/ToolPage.aspx?tid=7391^","CitraTest Application Performance Management (APM)")</f>
        <v>CitraTest Application Performance Management (APM)</v>
      </c>
      <c r="B7743" s="4" t="s">
        <v>7648</v>
      </c>
      <c r="C7743" s="8" t="s">
        <v>5</v>
      </c>
      <c r="D7743" s="11" t="s">
        <v>7649</v>
      </c>
    </row>
    <row r="7744" spans="1:4" ht="30">
      <c r="A7744" s="5" t="str">
        <f>HYPERLINK("https://www.oit.va.gov/Services/TRM/ToolPage.aspx?tid=8823^","Lamport TeX (LaTeX)")</f>
        <v>Lamport TeX (LaTeX)</v>
      </c>
      <c r="B7744" s="4" t="s">
        <v>6776</v>
      </c>
      <c r="C7744" s="8" t="s">
        <v>5</v>
      </c>
      <c r="D7744" s="11" t="s">
        <v>6777</v>
      </c>
    </row>
    <row r="7745" spans="1:4" ht="30">
      <c r="A7745" s="5" t="str">
        <f>HYPERLINK("https://www.oit.va.gov/Services/TRM/ToolPage.aspx?tid=16422^","TeX Live")</f>
        <v>TeX Live</v>
      </c>
      <c r="B7745" s="4" t="s">
        <v>6776</v>
      </c>
      <c r="C7745" s="8" t="s">
        <v>5</v>
      </c>
      <c r="D7745" s="11" t="s">
        <v>7224</v>
      </c>
    </row>
    <row r="7746" spans="1:4" ht="30">
      <c r="A7746" s="5" t="str">
        <f>HYPERLINK("https://www.oit.va.gov/Services/TRM/ToolPage.aspx?tid=10460^","FormBridge for InfoPath and SharePoint")</f>
        <v>FormBridge for InfoPath and SharePoint</v>
      </c>
      <c r="B7746" s="4" t="s">
        <v>3304</v>
      </c>
      <c r="C7746" s="8" t="s">
        <v>5</v>
      </c>
      <c r="D7746" s="11" t="s">
        <v>3305</v>
      </c>
    </row>
    <row r="7747" spans="1:4" ht="30">
      <c r="A7747" s="5" t="str">
        <f>HYPERLINK("https://www.oit.va.gov/Services/TRM/ToolPage.aspx?tid=13678^","TeXstudio")</f>
        <v>TeXstudio</v>
      </c>
      <c r="B7747" s="4" t="s">
        <v>7225</v>
      </c>
      <c r="C7747" s="8" t="s">
        <v>5</v>
      </c>
      <c r="D7747" s="11" t="s">
        <v>1266</v>
      </c>
    </row>
    <row r="7748" spans="1:4" ht="30">
      <c r="A7748" s="5" t="str">
        <f>HYPERLINK("https://www.oit.va.gov/Services/TRM/ToolPage.aspx?tid=14494^","TX Text Control .NET Server for ASP.NET")</f>
        <v>TX Text Control .NET Server for ASP.NET</v>
      </c>
      <c r="B7748" s="4" t="s">
        <v>3039</v>
      </c>
      <c r="C7748" s="8" t="s">
        <v>5</v>
      </c>
      <c r="D7748" s="11" t="s">
        <v>3040</v>
      </c>
    </row>
    <row r="7749" spans="1:4" ht="30">
      <c r="A7749" s="5" t="str">
        <f>HYPERLINK("https://www.oit.va.gov/Services/TRM/ToolPage.aspx?tid=9393^","Read&amp;Write")</f>
        <v>Read&amp;Write</v>
      </c>
      <c r="B7749" s="4" t="s">
        <v>454</v>
      </c>
      <c r="C7749" s="8" t="s">
        <v>5</v>
      </c>
      <c r="D7749" s="11" t="s">
        <v>455</v>
      </c>
    </row>
    <row r="7750" spans="1:4" ht="30">
      <c r="A7750" s="5" t="str">
        <f>HYPERLINK("https://www.oit.va.gov/Services/TRM/ToolPage.aspx?tid=11647^","SafeNet MobilePASS")</f>
        <v>SafeNet MobilePASS</v>
      </c>
      <c r="B7750" s="4" t="s">
        <v>833</v>
      </c>
      <c r="C7750" s="8" t="s">
        <v>5</v>
      </c>
      <c r="D7750" s="11" t="s">
        <v>834</v>
      </c>
    </row>
    <row r="7751" spans="1:4" ht="30">
      <c r="A7751" s="5" t="str">
        <f>HYPERLINK("https://www.oit.va.gov/Services/TRM/ToolPage.aspx?tid=10570^","Sentinel Rights Management System (RMS)")</f>
        <v>Sentinel Rights Management System (RMS)</v>
      </c>
      <c r="B7751" s="4" t="s">
        <v>833</v>
      </c>
      <c r="C7751" s="8" t="s">
        <v>5</v>
      </c>
      <c r="D7751" s="11" t="s">
        <v>1503</v>
      </c>
    </row>
    <row r="7752" spans="1:4" ht="30">
      <c r="A7752" s="5" t="str">
        <f>HYPERLINK("https://www.oit.va.gov/Services/TRM/ToolPage.aspx?tid=8261^","SafeNet Authentication Client (SAC)")</f>
        <v>SafeNet Authentication Client (SAC)</v>
      </c>
      <c r="B7752" s="4" t="s">
        <v>833</v>
      </c>
      <c r="C7752" s="8" t="s">
        <v>5</v>
      </c>
      <c r="D7752" s="11" t="s">
        <v>2212</v>
      </c>
    </row>
    <row r="7753" spans="1:4" ht="30">
      <c r="A7753" s="5" t="str">
        <f>HYPERLINK("https://www.oit.va.gov/Services/TRM/ToolPage.aspx?tid=9536^","Sentinel System Driver")</f>
        <v>Sentinel System Driver</v>
      </c>
      <c r="B7753" s="4" t="s">
        <v>833</v>
      </c>
      <c r="C7753" s="8" t="s">
        <v>5</v>
      </c>
      <c r="D7753" s="11" t="s">
        <v>529</v>
      </c>
    </row>
    <row r="7754" spans="1:4" ht="30">
      <c r="A7754" s="5" t="str">
        <f>HYPERLINK("https://www.oit.va.gov/Services/TRM/ToolPage.aspx?tid=15436^","American Board of Neurological Surgery (ABNS) Practice and Outcomes Surgical Therapies (POST)")</f>
        <v>American Board of Neurological Surgery (ABNS) Practice and Outcomes Surgical Therapies (POST)</v>
      </c>
      <c r="B7754" s="4" t="s">
        <v>7438</v>
      </c>
      <c r="C7754" s="8" t="s">
        <v>5</v>
      </c>
      <c r="D7754" s="11" t="s">
        <v>5724</v>
      </c>
    </row>
    <row r="7755" spans="1:4" ht="30">
      <c r="A7755" s="5" t="str">
        <f>HYPERLINK("https://www.oit.va.gov/Services/TRM/ToolPage.aspx?tid=7525^","Coding Pro")</f>
        <v>Coding Pro</v>
      </c>
      <c r="B7755" s="4" t="s">
        <v>7670</v>
      </c>
      <c r="C7755" s="8" t="s">
        <v>5</v>
      </c>
      <c r="D7755" s="11" t="s">
        <v>7671</v>
      </c>
    </row>
    <row r="7756" spans="1:4" ht="30">
      <c r="A7756" s="5" t="str">
        <f>HYPERLINK("https://www.oit.va.gov/Services/TRM/ToolPage.aspx?tid=6460^","CentOS Linux")</f>
        <v>CentOS Linux</v>
      </c>
      <c r="B7756" s="4" t="s">
        <v>6393</v>
      </c>
      <c r="C7756" s="8" t="s">
        <v>5</v>
      </c>
      <c r="D7756" s="11" t="s">
        <v>6394</v>
      </c>
    </row>
    <row r="7757" spans="1:4" ht="30">
      <c r="A7757" s="5" t="str">
        <f>HYPERLINK("https://www.oit.va.gov/Services/TRM/ToolPage.aspx?tid=9553^","Electrofiche")</f>
        <v>Electrofiche</v>
      </c>
      <c r="B7757" s="4" t="s">
        <v>7843</v>
      </c>
      <c r="C7757" s="8" t="s">
        <v>5</v>
      </c>
      <c r="D7757" s="11" t="s">
        <v>1183</v>
      </c>
    </row>
    <row r="7758" spans="1:4" ht="30">
      <c r="A7758" s="5" t="str">
        <f>HYPERLINK("https://www.oit.va.gov/Services/TRM/ToolPage.aspx?tid=13646^","CrypTool")</f>
        <v>CrypTool</v>
      </c>
      <c r="B7758" s="4" t="s">
        <v>5742</v>
      </c>
      <c r="C7758" s="8" t="s">
        <v>5</v>
      </c>
      <c r="D7758" s="11" t="s">
        <v>5151</v>
      </c>
    </row>
    <row r="7759" spans="1:4" ht="30">
      <c r="A7759" s="5" t="str">
        <f>HYPERLINK("https://www.oit.va.gov/Services/TRM/ToolPage.aspx?tid=7758^","LibreOffice")</f>
        <v>LibreOffice</v>
      </c>
      <c r="B7759" s="4" t="s">
        <v>1689</v>
      </c>
      <c r="C7759" s="8" t="s">
        <v>5</v>
      </c>
      <c r="D7759" s="11" t="s">
        <v>1402</v>
      </c>
    </row>
    <row r="7760" spans="1:4" ht="30">
      <c r="A7760" s="5" t="str">
        <f>HYPERLINK("https://www.oit.va.gov/Services/TRM/ToolPage.aspx?tid=14337^","Functional Connectivity Toolbox (CONN)")</f>
        <v>Functional Connectivity Toolbox (CONN)</v>
      </c>
      <c r="B7760" s="4" t="s">
        <v>6637</v>
      </c>
      <c r="C7760" s="8" t="s">
        <v>5</v>
      </c>
      <c r="D7760" s="11" t="s">
        <v>6638</v>
      </c>
    </row>
    <row r="7761" spans="1:4" ht="30">
      <c r="A7761" s="5" t="str">
        <f>HYPERLINK("https://www.oit.va.gov/Services/TRM/ToolPage.aspx?tid=7607^","Catpac")</f>
        <v>Catpac</v>
      </c>
      <c r="B7761" s="4" t="s">
        <v>7622</v>
      </c>
      <c r="C7761" s="8" t="s">
        <v>5</v>
      </c>
      <c r="D7761" s="11" t="s">
        <v>3192</v>
      </c>
    </row>
    <row r="7762" spans="1:4" ht="30">
      <c r="A7762" s="5" t="str">
        <f>HYPERLINK("https://www.oit.va.gov/Services/TRM/ToolPage.aspx?tid=14358^","FreeSurfer")</f>
        <v>FreeSurfer</v>
      </c>
      <c r="B7762" s="4" t="s">
        <v>1560</v>
      </c>
      <c r="C7762" s="8" t="s">
        <v>5</v>
      </c>
      <c r="D7762" s="11" t="s">
        <v>1561</v>
      </c>
    </row>
    <row r="7763" spans="1:4" ht="30">
      <c r="A7763" s="5" t="str">
        <f>HYPERLINK("https://www.oit.va.gov/Services/TRM/ToolPage.aspx?tid=14383^","Diffusion Toolkit")</f>
        <v>Diffusion Toolkit</v>
      </c>
      <c r="B7763" s="4" t="s">
        <v>1560</v>
      </c>
      <c r="C7763" s="8" t="s">
        <v>5</v>
      </c>
      <c r="D7763" s="11" t="s">
        <v>5759</v>
      </c>
    </row>
    <row r="7764" spans="1:4" ht="30">
      <c r="A7764" s="5" t="str">
        <f>HYPERLINK("https://www.oit.va.gov/Services/TRM/ToolPage.aspx?tid=14266^","GGobi Data Visualization System")</f>
        <v>GGobi Data Visualization System</v>
      </c>
      <c r="B7764" s="4" t="s">
        <v>3312</v>
      </c>
      <c r="C7764" s="8" t="s">
        <v>5</v>
      </c>
      <c r="D7764" s="11" t="s">
        <v>3313</v>
      </c>
    </row>
    <row r="7765" spans="1:4" ht="30">
      <c r="A7765" s="5" t="str">
        <f>HYPERLINK("https://www.oit.va.gov/Services/TRM/ToolPage.aspx?tid=14211^","Ghost Content Management System (CMS)")</f>
        <v>Ghost Content Management System (CMS)</v>
      </c>
      <c r="B7765" s="4" t="s">
        <v>6649</v>
      </c>
      <c r="C7765" s="8" t="s">
        <v>5</v>
      </c>
      <c r="D7765" s="11" t="s">
        <v>2637</v>
      </c>
    </row>
    <row r="7766" spans="1:4" ht="30">
      <c r="A7766" s="5" t="str">
        <f>HYPERLINK("https://www.oit.va.gov/Services/TRM/ToolPage.aspx?tid=8264^","Dia Diagram Editor	")</f>
        <v xml:space="preserve">Dia Diagram Editor	</v>
      </c>
      <c r="B7766" s="4" t="s">
        <v>6183</v>
      </c>
      <c r="C7766" s="8" t="s">
        <v>5</v>
      </c>
      <c r="D7766" s="11" t="s">
        <v>3263</v>
      </c>
    </row>
    <row r="7767" spans="1:4" ht="30">
      <c r="A7767" s="5" t="str">
        <f>HYPERLINK("https://www.oit.va.gov/Services/TRM/ToolPage.aspx?tid=12933^","GLib")</f>
        <v>GLib</v>
      </c>
      <c r="B7767" s="4" t="s">
        <v>6183</v>
      </c>
      <c r="C7767" s="8" t="s">
        <v>5</v>
      </c>
      <c r="D7767" s="11" t="s">
        <v>6655</v>
      </c>
    </row>
    <row r="7768" spans="1:4" ht="30">
      <c r="A7768" s="5" t="str">
        <f>HYPERLINK("https://www.oit.va.gov/Services/TRM/StandardPage.aspx?tid=10671^","Go Programming Language")</f>
        <v>Go Programming Language</v>
      </c>
      <c r="B7768" s="4" t="s">
        <v>6659</v>
      </c>
      <c r="C7768" s="8" t="s">
        <v>5</v>
      </c>
      <c r="D7768" s="11" t="s">
        <v>744</v>
      </c>
    </row>
    <row r="7769" spans="1:4" ht="30">
      <c r="A7769" s="5" t="str">
        <f>HYPERLINK("https://www.oit.va.gov/Services/TRM/ToolPage.aspx?tid=9261^","Grails")</f>
        <v>Grails</v>
      </c>
      <c r="B7769" s="4" t="s">
        <v>2130</v>
      </c>
      <c r="C7769" s="8" t="s">
        <v>5</v>
      </c>
      <c r="D7769" s="11" t="s">
        <v>2131</v>
      </c>
    </row>
    <row r="7770" spans="1:4" ht="30">
      <c r="A7770" s="5" t="str">
        <f>HYPERLINK("https://www.oit.va.gov/Services/TRM/ToolPage.aspx?tid=11529^","Hygiene Monitor")</f>
        <v>Hygiene Monitor</v>
      </c>
      <c r="B7770" s="4" t="s">
        <v>5235</v>
      </c>
      <c r="C7770" s="8" t="s">
        <v>5</v>
      </c>
      <c r="D7770" s="11" t="s">
        <v>1221</v>
      </c>
    </row>
    <row r="7771" spans="1:4" ht="30">
      <c r="A7771" s="5" t="str">
        <f>HYPERLINK("https://www.oit.va.gov/Services/TRM/ToolPage.aspx?tid=14735^","Imaging Control (IC) Capture")</f>
        <v>Imaging Control (IC) Capture</v>
      </c>
      <c r="B7771" s="4" t="s">
        <v>8064</v>
      </c>
      <c r="C7771" s="8" t="s">
        <v>5</v>
      </c>
      <c r="D7771" s="11" t="s">
        <v>7958</v>
      </c>
    </row>
    <row r="7772" spans="1:4" ht="30">
      <c r="A7772" s="5" t="str">
        <f>HYPERLINK("https://www.oit.va.gov/Services/TRM/ToolPage.aspx?tid=8240^","Inkscape")</f>
        <v>Inkscape</v>
      </c>
      <c r="B7772" s="4" t="s">
        <v>5250</v>
      </c>
      <c r="C7772" s="8" t="s">
        <v>5</v>
      </c>
      <c r="D7772" s="11" t="s">
        <v>2412</v>
      </c>
    </row>
    <row r="7773" spans="1:4" ht="30">
      <c r="A7773" s="5" t="str">
        <f>HYPERLINK("https://www.oit.va.gov/Services/TRM/ToolPage.aspx?tid=5820^","Java Tabular Data Stream (jTDS) Java Database Connectivity (JDBC) Driver")</f>
        <v>Java Tabular Data Stream (jTDS) Java Database Connectivity (JDBC) Driver</v>
      </c>
      <c r="B7773" s="4" t="s">
        <v>6746</v>
      </c>
      <c r="C7773" s="8" t="s">
        <v>5</v>
      </c>
      <c r="D7773" s="11" t="s">
        <v>2704</v>
      </c>
    </row>
    <row r="7774" spans="1:4" ht="30">
      <c r="A7774" s="5" t="str">
        <f>HYPERLINK("https://www.oit.va.gov/Services/TRM/ToolPage.aspx?tid=5821^","Jython")</f>
        <v>Jython</v>
      </c>
      <c r="B7774" s="4" t="s">
        <v>2703</v>
      </c>
      <c r="C7774" s="8" t="s">
        <v>5</v>
      </c>
      <c r="D7774" s="11" t="s">
        <v>2704</v>
      </c>
    </row>
    <row r="7775" spans="1:4" ht="30">
      <c r="A7775" s="5" t="str">
        <f>HYPERLINK("https://www.oit.va.gov/Services/TRM/ToolPage.aspx?tid=9154^","LimeSurvey")</f>
        <v>LimeSurvey</v>
      </c>
      <c r="B7775" s="4" t="s">
        <v>2736</v>
      </c>
      <c r="C7775" s="8" t="s">
        <v>5</v>
      </c>
      <c r="D7775" s="11" t="s">
        <v>1620</v>
      </c>
    </row>
    <row r="7776" spans="1:4" ht="30">
      <c r="A7776" s="5" t="str">
        <f>HYPERLINK("https://www.oit.va.gov/Services/TRM/ToolPage.aspx?tid=13904^","IntelliTRIAL")</f>
        <v>IntelliTRIAL</v>
      </c>
      <c r="B7776" s="4" t="s">
        <v>1642</v>
      </c>
      <c r="C7776" s="8" t="s">
        <v>5</v>
      </c>
      <c r="D7776" s="11" t="s">
        <v>689</v>
      </c>
    </row>
    <row r="7777" spans="1:4" ht="30">
      <c r="A7777" s="5" t="str">
        <f>HYPERLINK("https://www.oit.va.gov/Services/TRM/ToolPage.aspx?tid=15142^","Signal Processing Toolbox")</f>
        <v>Signal Processing Toolbox</v>
      </c>
      <c r="B7777" s="4" t="s">
        <v>1102</v>
      </c>
      <c r="C7777" s="8" t="s">
        <v>5</v>
      </c>
      <c r="D7777" s="11" t="s">
        <v>1103</v>
      </c>
    </row>
    <row r="7778" spans="1:4" ht="30">
      <c r="A7778" s="5" t="str">
        <f>HYPERLINK("https://www.oit.va.gov/Services/TRM/ToolPage.aspx?tid=11506^","Synthea")</f>
        <v>Synthea</v>
      </c>
      <c r="B7778" s="4" t="s">
        <v>3013</v>
      </c>
      <c r="C7778" s="8" t="s">
        <v>5</v>
      </c>
      <c r="D7778" s="11" t="s">
        <v>2039</v>
      </c>
    </row>
    <row r="7779" spans="1:4" ht="30">
      <c r="A7779" s="5" t="str">
        <f>HYPERLINK("https://www.oit.va.gov/Services/TRM/ToolPage.aspx?tid=15105^","Network Time Protocol")</f>
        <v>Network Time Protocol</v>
      </c>
      <c r="B7779" s="4" t="s">
        <v>6923</v>
      </c>
      <c r="C7779" s="8" t="s">
        <v>5</v>
      </c>
      <c r="D7779" s="11" t="s">
        <v>5285</v>
      </c>
    </row>
    <row r="7780" spans="1:4" ht="30">
      <c r="A7780" s="5" t="str">
        <f>HYPERLINK("https://www.oit.va.gov/Services/TRM/ToolPage.aspx?tid=9668^","FoodWorks")</f>
        <v>FoodWorks</v>
      </c>
      <c r="B7780" s="4" t="s">
        <v>5203</v>
      </c>
      <c r="C7780" s="8" t="s">
        <v>5</v>
      </c>
      <c r="D7780" s="11" t="s">
        <v>4157</v>
      </c>
    </row>
    <row r="7781" spans="1:4" ht="30">
      <c r="A7781" s="5" t="str">
        <f>HYPERLINK("https://www.oit.va.gov/Services/TRM/StandardPage.aspx?tid=5432^","UNIX")</f>
        <v>UNIX</v>
      </c>
      <c r="B7781" s="4" t="s">
        <v>7273</v>
      </c>
      <c r="C7781" s="8" t="s">
        <v>5</v>
      </c>
      <c r="D7781" s="11" t="s">
        <v>326</v>
      </c>
    </row>
    <row r="7782" spans="1:4" ht="30">
      <c r="A7782" s="5" t="str">
        <f>HYPERLINK("https://www.oit.va.gov/Services/TRM/StandardPage.aspx?tid=14139^","Distributed Audit Service (XDAS)")</f>
        <v>Distributed Audit Service (XDAS)</v>
      </c>
      <c r="B7782" s="4" t="s">
        <v>7273</v>
      </c>
      <c r="C7782" s="8" t="s">
        <v>5</v>
      </c>
      <c r="D7782" s="11" t="s">
        <v>7481</v>
      </c>
    </row>
    <row r="7783" spans="1:4" ht="30">
      <c r="A7783" s="5" t="str">
        <f>HYPERLINK("https://www.oit.va.gov/Services/TRM/ToolPage.aspx?tid=13780^","Xvfb")</f>
        <v>Xvfb</v>
      </c>
      <c r="B7783" s="4" t="s">
        <v>7273</v>
      </c>
      <c r="C7783" s="8" t="s">
        <v>5</v>
      </c>
      <c r="D7783" s="11" t="s">
        <v>892</v>
      </c>
    </row>
    <row r="7784" spans="1:4" ht="30">
      <c r="A7784" s="5" t="str">
        <f>HYPERLINK("https://www.oit.va.gov/Services/TRM/ToolPage.aspx?tid=15734^","The Orthotic Group (TOG) Client Software")</f>
        <v>The Orthotic Group (TOG) Client Software</v>
      </c>
      <c r="B7784" s="4" t="s">
        <v>6107</v>
      </c>
      <c r="C7784" s="8" t="s">
        <v>5</v>
      </c>
      <c r="D7784" s="11" t="s">
        <v>848</v>
      </c>
    </row>
    <row r="7785" spans="1:4" ht="30">
      <c r="A7785" s="5" t="str">
        <f>HYPERLINK("https://www.oit.va.gov/Services/TRM/ToolPage.aspx?tid=6446^","Web Accessibility Toolbar")</f>
        <v>Web Accessibility Toolbar</v>
      </c>
      <c r="B7785" s="4" t="s">
        <v>3081</v>
      </c>
      <c r="C7785" s="8" t="s">
        <v>5</v>
      </c>
      <c r="D7785" s="11" t="s">
        <v>759</v>
      </c>
    </row>
    <row r="7786" spans="1:4" ht="30">
      <c r="A7786" s="5" t="str">
        <f>HYPERLINK("https://www.oit.va.gov/Services/TRM/ToolPage.aspx?tid=13899^","Job Access With Speech (JAWS) Inspect")</f>
        <v>Job Access With Speech (JAWS) Inspect</v>
      </c>
      <c r="B7786" s="4" t="s">
        <v>3081</v>
      </c>
      <c r="C7786" s="8" t="s">
        <v>5</v>
      </c>
      <c r="D7786" s="11" t="s">
        <v>3932</v>
      </c>
    </row>
    <row r="7787" spans="1:4" ht="30">
      <c r="A7787" s="5" t="str">
        <f>HYPERLINK("https://www.oit.va.gov/Services/TRM/ToolPage.aspx?tid=10316^","Flask")</f>
        <v>Flask</v>
      </c>
      <c r="B7787" s="4" t="s">
        <v>2601</v>
      </c>
      <c r="C7787" s="8" t="s">
        <v>5</v>
      </c>
      <c r="D7787" s="11" t="s">
        <v>2602</v>
      </c>
    </row>
    <row r="7788" spans="1:4" ht="30">
      <c r="A7788" s="5" t="str">
        <f>HYPERLINK("https://www.oit.va.gov/Services/TRM/ToolPage.aspx?tid=16184^","Morpheus Urodynamics")</f>
        <v>Morpheus Urodynamics</v>
      </c>
      <c r="B7788" s="4" t="s">
        <v>4452</v>
      </c>
      <c r="C7788" s="8" t="s">
        <v>5</v>
      </c>
      <c r="D7788" s="11" t="s">
        <v>4453</v>
      </c>
    </row>
    <row r="7789" spans="1:4" ht="30">
      <c r="A7789" s="5" t="str">
        <f>HYPERLINK("https://www.oit.va.gov/Services/TRM/ToolPage.aspx?tid=15590^","Telesis software")</f>
        <v>Telesis software</v>
      </c>
      <c r="B7789" s="4" t="s">
        <v>4452</v>
      </c>
      <c r="C7789" s="8" t="s">
        <v>5</v>
      </c>
      <c r="D7789" s="11" t="s">
        <v>4896</v>
      </c>
    </row>
    <row r="7790" spans="1:4" ht="30">
      <c r="A7790" s="5" t="str">
        <f>HYPERLINK("https://www.oit.va.gov/Services/TRM/ToolPage.aspx?tid=15024^","Qt")</f>
        <v>Qt</v>
      </c>
      <c r="B7790" s="4" t="s">
        <v>4682</v>
      </c>
      <c r="C7790" s="8" t="s">
        <v>5</v>
      </c>
      <c r="D7790" s="11" t="s">
        <v>3466</v>
      </c>
    </row>
    <row r="7791" spans="1:4" ht="30">
      <c r="A7791" s="5" t="str">
        <f>HYPERLINK("https://www.oit.va.gov/Services/TRM/ToolPage.aspx?tid=11522^","Open Object Rexx (ooRexx)")</f>
        <v>Open Object Rexx (ooRexx)</v>
      </c>
      <c r="B7791" s="4" t="s">
        <v>139</v>
      </c>
      <c r="C7791" s="8" t="s">
        <v>5</v>
      </c>
      <c r="D7791" s="11" t="s">
        <v>140</v>
      </c>
    </row>
    <row r="7792" spans="1:4" ht="30">
      <c r="A7792" s="5" t="str">
        <f>HYPERLINK("https://www.oit.va.gov/Services/TRM/ToolPage.aspx?tid=7068^","OneView Cardiac Rhythm Management (CRM)")</f>
        <v>OneView Cardiac Rhythm Management (CRM)</v>
      </c>
      <c r="B7792" s="4" t="s">
        <v>5979</v>
      </c>
      <c r="C7792" s="8" t="s">
        <v>5</v>
      </c>
      <c r="D7792" s="11" t="s">
        <v>5980</v>
      </c>
    </row>
    <row r="7793" spans="1:4" ht="30">
      <c r="A7793" s="5" t="str">
        <f>HYPERLINK("https://www.oit.va.gov/Services/TRM/ToolPage.aspx?tid=13233^","PortScan")</f>
        <v>PortScan</v>
      </c>
      <c r="B7793" s="4" t="s">
        <v>8458</v>
      </c>
      <c r="C7793" s="8" t="s">
        <v>5</v>
      </c>
      <c r="D7793" s="11" t="s">
        <v>8459</v>
      </c>
    </row>
    <row r="7794" spans="1:4" ht="30">
      <c r="A7794" s="5" t="str">
        <f>HYPERLINK("https://www.oit.va.gov/Services/TRM/ToolPage.aspx?tid=7466^","Test of Variables of Attention (T.O.V.A.)")</f>
        <v>Test of Variables of Attention (T.O.V.A.)</v>
      </c>
      <c r="B7794" s="4" t="s">
        <v>333</v>
      </c>
      <c r="C7794" s="8" t="s">
        <v>5</v>
      </c>
      <c r="D7794" s="11" t="s">
        <v>334</v>
      </c>
    </row>
    <row r="7795" spans="1:4" ht="30">
      <c r="A7795" s="5" t="str">
        <f>HYPERLINK("https://www.oit.va.gov/Services/TRM/ToolPage.aspx?tid=14159^","Automated Cornea Confocal Metrics (ACCMetrics) Corneal Nerve Fibre Analyser")</f>
        <v>Automated Cornea Confocal Metrics (ACCMetrics) Corneal Nerve Fibre Analyser</v>
      </c>
      <c r="B7795" s="4" t="s">
        <v>3796</v>
      </c>
      <c r="C7795" s="8" t="s">
        <v>5</v>
      </c>
      <c r="D7795" s="11" t="s">
        <v>3797</v>
      </c>
    </row>
    <row r="7796" spans="1:4" ht="30">
      <c r="A7796" s="5" t="str">
        <f>HYPERLINK("https://www.oit.va.gov/Services/TRM/ToolPage.aspx?tid=6963^","General Architecture for Text Engineering (GATE) Developer")</f>
        <v>General Architecture for Text Engineering (GATE) Developer</v>
      </c>
      <c r="B7796" s="4" t="s">
        <v>690</v>
      </c>
      <c r="C7796" s="8" t="s">
        <v>5</v>
      </c>
      <c r="D7796" s="11" t="s">
        <v>215</v>
      </c>
    </row>
    <row r="7797" spans="1:4" ht="30">
      <c r="A7797" s="5" t="str">
        <f>HYPERLINK("https://www.oit.va.gov/Services/TRM/ToolPage.aspx?tid=10829^","STRand Analysis Software")</f>
        <v>STRand Analysis Software</v>
      </c>
      <c r="B7797" s="4" t="s">
        <v>8739</v>
      </c>
      <c r="C7797" s="8" t="s">
        <v>5</v>
      </c>
      <c r="D7797" s="11" t="s">
        <v>8740</v>
      </c>
    </row>
    <row r="7798" spans="1:4" ht="30">
      <c r="A7798" s="5" t="str">
        <f>HYPERLINK("https://www.oit.va.gov/Services/TRM/ToolPage.aspx?tid=14336^","Statistical Parametric Mapping (SPM12)")</f>
        <v>Statistical Parametric Mapping (SPM12)</v>
      </c>
      <c r="B7798" s="4" t="s">
        <v>8727</v>
      </c>
      <c r="C7798" s="8" t="s">
        <v>5</v>
      </c>
      <c r="D7798" s="11" t="s">
        <v>4854</v>
      </c>
    </row>
    <row r="7799" spans="1:4" ht="30">
      <c r="A7799" s="5" t="str">
        <f>HYPERLINK("https://www.oit.va.gov/Services/TRM/ToolPage.aspx?tid=13168^","E2fsprogs")</f>
        <v>E2fsprogs</v>
      </c>
      <c r="B7799" s="4" t="s">
        <v>7824</v>
      </c>
      <c r="C7799" s="8" t="s">
        <v>5</v>
      </c>
      <c r="D7799" s="11" t="s">
        <v>385</v>
      </c>
    </row>
    <row r="7800" spans="1:4" ht="30">
      <c r="A7800" s="5" t="str">
        <f>HYPERLINK("https://www.oit.va.gov/Services/TRM/ToolPage.aspx?tid=13684^","7500 Real-time Polymerase Chain Reaction (PCR) Software")</f>
        <v>7500 Real-time Polymerase Chain Reaction (PCR) Software</v>
      </c>
      <c r="B7800" s="4" t="s">
        <v>166</v>
      </c>
      <c r="C7800" s="8" t="s">
        <v>5</v>
      </c>
      <c r="D7800" s="11" t="s">
        <v>167</v>
      </c>
    </row>
    <row r="7801" spans="1:4" ht="30">
      <c r="A7801" s="5" t="str">
        <f>HYPERLINK("https://www.oit.va.gov/Services/TRM/ToolPage.aspx?tid=16576^","iBright Analysis Software Desktop")</f>
        <v>iBright Analysis Software Desktop</v>
      </c>
      <c r="B7801" s="4" t="s">
        <v>166</v>
      </c>
      <c r="C7801" s="8" t="s">
        <v>5</v>
      </c>
      <c r="D7801" s="11" t="s">
        <v>218</v>
      </c>
    </row>
    <row r="7802" spans="1:4" ht="30">
      <c r="A7802" s="5" t="str">
        <f>HYPERLINK("https://www.oit.va.gov/Services/TRM/ToolPage.aspx?tid=15793^","BindIt Software")</f>
        <v>BindIt Software</v>
      </c>
      <c r="B7802" s="4" t="s">
        <v>166</v>
      </c>
      <c r="C7802" s="8" t="s">
        <v>5</v>
      </c>
      <c r="D7802" s="11" t="s">
        <v>939</v>
      </c>
    </row>
    <row r="7803" spans="1:4" ht="30">
      <c r="A7803" s="5" t="str">
        <f>HYPERLINK("https://www.oit.va.gov/Services/TRM/ToolPage.aspx?tid=15728^","Nanodrop 2000/2000c software")</f>
        <v>Nanodrop 2000/2000c software</v>
      </c>
      <c r="B7803" s="4" t="s">
        <v>166</v>
      </c>
      <c r="C7803" s="8" t="s">
        <v>5</v>
      </c>
      <c r="D7803" s="11" t="s">
        <v>1058</v>
      </c>
    </row>
    <row r="7804" spans="1:4" ht="30">
      <c r="A7804" s="5" t="str">
        <f>HYPERLINK("https://www.oit.va.gov/Services/TRM/ToolPage.aspx?tid=8421^","NITON Data Transfer (NDT)")</f>
        <v>NITON Data Transfer (NDT)</v>
      </c>
      <c r="B7804" s="4" t="s">
        <v>166</v>
      </c>
      <c r="C7804" s="8" t="s">
        <v>5</v>
      </c>
      <c r="D7804" s="11" t="s">
        <v>1185</v>
      </c>
    </row>
    <row r="7805" spans="1:4" ht="30">
      <c r="A7805" s="5" t="str">
        <f>HYPERLINK("https://www.oit.va.gov/Services/TRM/ToolPage.aspx?tid=7688^","Vector NTI Express")</f>
        <v>Vector NTI Express</v>
      </c>
      <c r="B7805" s="4" t="s">
        <v>166</v>
      </c>
      <c r="C7805" s="8" t="s">
        <v>5</v>
      </c>
      <c r="D7805" s="11" t="s">
        <v>1219</v>
      </c>
    </row>
    <row r="7806" spans="1:4" ht="30">
      <c r="A7806" s="5" t="str">
        <f>HYPERLINK("https://www.oit.va.gov/Services/TRM/ToolPage.aspx?tid=10240^","HistoTrac")</f>
        <v>HistoTrac</v>
      </c>
      <c r="B7806" s="4" t="s">
        <v>166</v>
      </c>
      <c r="C7806" s="8" t="s">
        <v>5</v>
      </c>
      <c r="D7806" s="11" t="s">
        <v>234</v>
      </c>
    </row>
    <row r="7807" spans="1:4" ht="30">
      <c r="A7807" s="5" t="str">
        <f>HYPERLINK("https://www.oit.va.gov/Services/TRM/ToolPage.aspx?tid=13229^","NanoDrop 1000 Software")</f>
        <v>NanoDrop 1000 Software</v>
      </c>
      <c r="B7807" s="4" t="s">
        <v>166</v>
      </c>
      <c r="C7807" s="8" t="s">
        <v>5</v>
      </c>
      <c r="D7807" s="11" t="s">
        <v>1759</v>
      </c>
    </row>
    <row r="7808" spans="1:4" ht="30">
      <c r="A7808" s="5" t="str">
        <f>HYPERLINK("https://www.oit.va.gov/Services/TRM/ToolPage.aspx?tid=11180^","NanoDrop One Viewer")</f>
        <v>NanoDrop One Viewer</v>
      </c>
      <c r="B7808" s="4" t="s">
        <v>166</v>
      </c>
      <c r="C7808" s="8" t="s">
        <v>5</v>
      </c>
      <c r="D7808" s="11" t="s">
        <v>1760</v>
      </c>
    </row>
    <row r="7809" spans="1:4" ht="30">
      <c r="A7809" s="5" t="str">
        <f>HYPERLINK("https://www.oit.va.gov/Services/TRM/ToolPage.aspx?tid=16608^","Thermo Fisher Oncomine Reporter (OKR)")</f>
        <v>Thermo Fisher Oncomine Reporter (OKR)</v>
      </c>
      <c r="B7809" s="4" t="s">
        <v>166</v>
      </c>
      <c r="C7809" s="8" t="s">
        <v>5</v>
      </c>
      <c r="D7809" s="11" t="s">
        <v>1992</v>
      </c>
    </row>
    <row r="7810" spans="1:4" ht="30">
      <c r="A7810" s="5" t="str">
        <f>HYPERLINK("https://www.oit.va.gov/Services/TRM/ToolPage.aspx?tid=16705^","TruNarc Admin Application")</f>
        <v>TruNarc Admin Application</v>
      </c>
      <c r="B7810" s="4" t="s">
        <v>166</v>
      </c>
      <c r="C7810" s="8" t="s">
        <v>5</v>
      </c>
      <c r="D7810" s="11" t="s">
        <v>2005</v>
      </c>
    </row>
    <row r="7811" spans="1:4" ht="30">
      <c r="A7811" s="5" t="str">
        <f>HYPERLINK("https://www.oit.va.gov/Services/TRM/ToolPage.aspx?tid=13546^","ABI PRISM 7000 Sequence Detection System")</f>
        <v>ABI PRISM 7000 Sequence Detection System</v>
      </c>
      <c r="B7811" s="4" t="s">
        <v>166</v>
      </c>
      <c r="C7811" s="8" t="s">
        <v>5</v>
      </c>
      <c r="D7811" s="11" t="s">
        <v>2210</v>
      </c>
    </row>
    <row r="7812" spans="1:4" ht="30">
      <c r="A7812" s="5" t="str">
        <f>HYPERLINK("https://www.oit.va.gov/Services/TRM/ToolPage.aspx?tid=13405^","Peak Scanner Software")</f>
        <v>Peak Scanner Software</v>
      </c>
      <c r="B7812" s="4" t="s">
        <v>166</v>
      </c>
      <c r="C7812" s="8" t="s">
        <v>5</v>
      </c>
      <c r="D7812" s="11" t="s">
        <v>2294</v>
      </c>
    </row>
    <row r="7813" spans="1:4" ht="30">
      <c r="A7813" s="5" t="str">
        <f>HYPERLINK("https://www.oit.va.gov/Services/TRM/ToolPage.aspx?tid=13614^","Primer Express")</f>
        <v>Primer Express</v>
      </c>
      <c r="B7813" s="4" t="s">
        <v>166</v>
      </c>
      <c r="C7813" s="8" t="s">
        <v>5</v>
      </c>
      <c r="D7813" s="11" t="s">
        <v>3463</v>
      </c>
    </row>
    <row r="7814" spans="1:4" ht="30">
      <c r="A7814" s="5" t="str">
        <f>HYPERLINK("https://www.oit.va.gov/Services/TRM/ToolPage.aspx?tid=13580^","Sequence Scanner")</f>
        <v>Sequence Scanner</v>
      </c>
      <c r="B7814" s="4" t="s">
        <v>166</v>
      </c>
      <c r="C7814" s="8" t="s">
        <v>5</v>
      </c>
      <c r="D7814" s="11" t="s">
        <v>3513</v>
      </c>
    </row>
    <row r="7815" spans="1:4" ht="30">
      <c r="A7815" s="5" t="str">
        <f>HYPERLINK("https://www.oit.va.gov/Services/TRM/ToolPage.aspx?tid=9417^","ThermoConnect")</f>
        <v>ThermoConnect</v>
      </c>
      <c r="B7815" s="4" t="s">
        <v>166</v>
      </c>
      <c r="C7815" s="8" t="s">
        <v>5</v>
      </c>
      <c r="D7815" s="11" t="s">
        <v>479</v>
      </c>
    </row>
    <row r="7816" spans="1:4" ht="30">
      <c r="A7816" s="5" t="str">
        <f>HYPERLINK("https://www.oit.va.gov/Services/TRM/ToolPage.aspx?tid=8439^","ThermoMatch")</f>
        <v>ThermoMatch</v>
      </c>
      <c r="B7816" s="4" t="s">
        <v>166</v>
      </c>
      <c r="C7816" s="8" t="s">
        <v>5</v>
      </c>
      <c r="D7816" s="11" t="s">
        <v>3577</v>
      </c>
    </row>
    <row r="7817" spans="1:4" ht="30">
      <c r="A7817" s="5" t="str">
        <f>HYPERLINK("https://www.oit.va.gov/Services/TRM/ToolPage.aspx?tid=9212^","UniMatch PLUS")</f>
        <v>UniMatch PLUS</v>
      </c>
      <c r="B7817" s="4" t="s">
        <v>166</v>
      </c>
      <c r="C7817" s="8" t="s">
        <v>5</v>
      </c>
      <c r="D7817" s="11" t="s">
        <v>3594</v>
      </c>
    </row>
    <row r="7818" spans="1:4" ht="30">
      <c r="A7818" s="5" t="str">
        <f>HYPERLINK("https://www.oit.va.gov/Services/TRM/ToolPage.aspx?tid=13222^","Thermopatch TITAN")</f>
        <v>Thermopatch TITAN</v>
      </c>
      <c r="B7818" s="4" t="s">
        <v>6108</v>
      </c>
      <c r="C7818" s="8" t="s">
        <v>5</v>
      </c>
      <c r="D7818" s="11" t="s">
        <v>1658</v>
      </c>
    </row>
    <row r="7819" spans="1:4" ht="30">
      <c r="A7819" s="5" t="str">
        <f>HYPERLINK("https://www.oit.va.gov/Services/TRM/ToolPage.aspx?tid=13081^","Qualitative Comparative Analysis Pro (QCApro)")</f>
        <v>Qualitative Comparative Analysis Pro (QCApro)</v>
      </c>
      <c r="B7819" s="4" t="s">
        <v>8517</v>
      </c>
      <c r="C7819" s="8" t="s">
        <v>5</v>
      </c>
      <c r="D7819" s="11" t="s">
        <v>2816</v>
      </c>
    </row>
    <row r="7820" spans="1:4" ht="30">
      <c r="A7820" s="5" t="str">
        <f>HYPERLINK("https://www.oit.va.gov/Services/TRM/ToolPage.aspx?tid=15122^","Smart Light Emitting Diode (LED) Manager Pro")</f>
        <v>Smart Light Emitting Diode (LED) Manager Pro</v>
      </c>
      <c r="B7820" s="4" t="s">
        <v>1929</v>
      </c>
      <c r="C7820" s="8" t="s">
        <v>5</v>
      </c>
      <c r="D7820" s="11" t="s">
        <v>1930</v>
      </c>
    </row>
    <row r="7821" spans="1:4" ht="30">
      <c r="A7821" s="5" t="str">
        <f>HYPERLINK("https://www.oit.va.gov/Services/TRM/ToolPage.aspx?tid=16596^","LibKey Nomad")</f>
        <v>LibKey Nomad</v>
      </c>
      <c r="B7821" s="4" t="s">
        <v>4358</v>
      </c>
      <c r="C7821" s="8" t="s">
        <v>5</v>
      </c>
      <c r="D7821" s="11" t="s">
        <v>1016</v>
      </c>
    </row>
    <row r="7822" spans="1:4" ht="30">
      <c r="A7822" s="5" t="str">
        <f>HYPERLINK("https://www.oit.va.gov/Services/TRM/ToolPage.aspx?tid=10539^","H2 Database Engine")</f>
        <v>H2 Database Engine</v>
      </c>
      <c r="B7822" s="4" t="s">
        <v>8010</v>
      </c>
      <c r="C7822" s="8" t="s">
        <v>5</v>
      </c>
      <c r="D7822" s="11" t="s">
        <v>3451</v>
      </c>
    </row>
    <row r="7823" spans="1:4" ht="30">
      <c r="A7823" s="5" t="str">
        <f>HYPERLINK("https://www.oit.va.gov/Services/TRM/ToolPage.aspx?tid=9946^","Drafting Assistant")</f>
        <v>Drafting Assistant</v>
      </c>
      <c r="B7823" s="4" t="s">
        <v>3264</v>
      </c>
      <c r="C7823" s="8" t="s">
        <v>5</v>
      </c>
      <c r="D7823" s="11" t="s">
        <v>2452</v>
      </c>
    </row>
    <row r="7824" spans="1:4" ht="30">
      <c r="A7824" s="5" t="str">
        <f>HYPERLINK("https://www.oit.va.gov/Services/TRM/ToolPage.aspx?tid=14348^","CiteAdvisor")</f>
        <v>CiteAdvisor</v>
      </c>
      <c r="B7824" s="4" t="s">
        <v>3264</v>
      </c>
      <c r="C7824" s="8" t="s">
        <v>5</v>
      </c>
      <c r="D7824" s="11" t="s">
        <v>638</v>
      </c>
    </row>
    <row r="7825" spans="1:4" ht="30">
      <c r="A7825" s="5" t="str">
        <f>HYPERLINK("https://www.oit.va.gov/Services/TRM/ToolPage.aspx?tid=5709^","Reference Manager")</f>
        <v>Reference Manager</v>
      </c>
      <c r="B7825" s="4" t="s">
        <v>3264</v>
      </c>
      <c r="C7825" s="8" t="s">
        <v>5</v>
      </c>
      <c r="D7825" s="11" t="s">
        <v>8041</v>
      </c>
    </row>
    <row r="7826" spans="1:4" ht="30">
      <c r="A7826" s="5" t="str">
        <f>HYPERLINK("https://www.oit.va.gov/Services/TRM/ToolPage.aspx?tid=14824^","Tremoflo")</f>
        <v>Tremoflo</v>
      </c>
      <c r="B7826" s="4" t="s">
        <v>7246</v>
      </c>
      <c r="C7826" s="8" t="s">
        <v>5</v>
      </c>
      <c r="D7826" s="11" t="s">
        <v>7247</v>
      </c>
    </row>
    <row r="7827" spans="1:4" ht="30">
      <c r="A7827" s="5" t="str">
        <f>HYPERLINK("https://www.oit.va.gov/Services/TRM/ToolPage.aspx?tid=7802^","BioGraph Infiniti Software")</f>
        <v>BioGraph Infiniti Software</v>
      </c>
      <c r="B7827" s="4" t="s">
        <v>1364</v>
      </c>
      <c r="C7827" s="8" t="s">
        <v>5</v>
      </c>
      <c r="D7827" s="11" t="s">
        <v>1365</v>
      </c>
    </row>
    <row r="7828" spans="1:4" ht="30">
      <c r="A7828" s="5" t="str">
        <f>HYPERLINK("https://www.oit.va.gov/Services/TRM/ToolPage.aspx?tid=16263^","Thymeleaf")</f>
        <v>Thymeleaf</v>
      </c>
      <c r="B7828" s="4" t="s">
        <v>4905</v>
      </c>
      <c r="C7828" s="8" t="s">
        <v>5</v>
      </c>
      <c r="D7828" s="11" t="s">
        <v>4906</v>
      </c>
    </row>
    <row r="7829" spans="1:4" ht="30">
      <c r="A7829" s="5" t="str">
        <f>HYPERLINK("https://www.oit.va.gov/Services/TRM/ToolPage.aspx?tid=15940^","TIBCO Omni-HealthData Business Release")</f>
        <v>TIBCO Omni-HealthData Business Release</v>
      </c>
      <c r="B7829" s="4" t="s">
        <v>877</v>
      </c>
      <c r="C7829" s="8" t="s">
        <v>5</v>
      </c>
      <c r="D7829" s="11" t="s">
        <v>878</v>
      </c>
    </row>
    <row r="7830" spans="1:4" ht="30">
      <c r="A7830" s="5" t="str">
        <f>HYPERLINK("https://www.oit.va.gov/Services/TRM/ToolPage.aspx?tid=15917^","TIBCO Omni-Gen Data Quality (DQ)")</f>
        <v>TIBCO Omni-Gen Data Quality (DQ)</v>
      </c>
      <c r="B7830" s="4" t="s">
        <v>877</v>
      </c>
      <c r="C7830" s="8" t="s">
        <v>5</v>
      </c>
      <c r="D7830" s="11" t="s">
        <v>366</v>
      </c>
    </row>
    <row r="7831" spans="1:4" ht="30">
      <c r="A7831" s="5" t="str">
        <f>HYPERLINK("https://www.oit.va.gov/Services/TRM/ToolPage.aspx?tid=8442^","TIBCO Spotfire Server")</f>
        <v>TIBCO Spotfire Server</v>
      </c>
      <c r="B7831" s="4" t="s">
        <v>877</v>
      </c>
      <c r="C7831" s="8" t="s">
        <v>5</v>
      </c>
      <c r="D7831" s="11" t="s">
        <v>1996</v>
      </c>
    </row>
    <row r="7832" spans="1:4" ht="30">
      <c r="A7832" s="5" t="str">
        <f>HYPERLINK("https://www.oit.va.gov/Services/TRM/ToolPage.aspx?tid=8789^","Foresight EDISIM")</f>
        <v>Foresight EDISIM</v>
      </c>
      <c r="B7832" s="4" t="s">
        <v>877</v>
      </c>
      <c r="C7832" s="8" t="s">
        <v>5</v>
      </c>
      <c r="D7832" s="11" t="s">
        <v>2424</v>
      </c>
    </row>
    <row r="7833" spans="1:4" ht="30">
      <c r="A7833" s="5" t="str">
        <f>HYPERLINK("https://www.oit.va.gov/Services/TRM/ToolPage.aspx?tid=7530^","Foresight Instream")</f>
        <v>Foresight Instream</v>
      </c>
      <c r="B7833" s="4" t="s">
        <v>877</v>
      </c>
      <c r="C7833" s="8" t="s">
        <v>5</v>
      </c>
      <c r="D7833" s="11" t="s">
        <v>1821</v>
      </c>
    </row>
    <row r="7834" spans="1:4" ht="30">
      <c r="A7834" s="5" t="str">
        <f>HYPERLINK("https://www.oit.va.gov/Services/TRM/ToolPage.aspx?tid=9934^","JasperReports Server")</f>
        <v>JasperReports Server</v>
      </c>
      <c r="B7834" s="4" t="s">
        <v>877</v>
      </c>
      <c r="C7834" s="8" t="s">
        <v>5</v>
      </c>
      <c r="D7834" s="11" t="s">
        <v>2157</v>
      </c>
    </row>
    <row r="7835" spans="1:4" ht="30">
      <c r="A7835" s="5" t="str">
        <f>HYPERLINK("https://www.oit.va.gov/Services/TRM/ToolPage.aspx?tid=15924^","TIBCO Omni-HealthData")</f>
        <v>TIBCO Omni-HealthData</v>
      </c>
      <c r="B7835" s="4" t="s">
        <v>877</v>
      </c>
      <c r="C7835" s="8" t="s">
        <v>5</v>
      </c>
      <c r="D7835" s="11" t="s">
        <v>878</v>
      </c>
    </row>
    <row r="7836" spans="1:4" ht="30">
      <c r="A7836" s="5" t="str">
        <f>HYPERLINK("https://www.oit.va.gov/Services/TRM/ToolPage.aspx?tid=7565^","TIBCO Spotfire Analytics")</f>
        <v>TIBCO Spotfire Analytics</v>
      </c>
      <c r="B7836" s="4" t="s">
        <v>877</v>
      </c>
      <c r="C7836" s="8" t="s">
        <v>5</v>
      </c>
      <c r="D7836" s="11" t="s">
        <v>2327</v>
      </c>
    </row>
    <row r="7837" spans="1:4" ht="30">
      <c r="A7837" s="5" t="str">
        <f>HYPERLINK("https://www.oit.va.gov/Services/TRM/ToolPage.aspx?tid=8427^","TIBCO Spotfire Statistics Services")</f>
        <v>TIBCO Spotfire Statistics Services</v>
      </c>
      <c r="B7837" s="4" t="s">
        <v>877</v>
      </c>
      <c r="C7837" s="8" t="s">
        <v>5</v>
      </c>
      <c r="D7837" s="11" t="s">
        <v>2820</v>
      </c>
    </row>
    <row r="7838" spans="1:4" ht="30">
      <c r="A7838" s="5" t="str">
        <f>HYPERLINK("https://www.oit.va.gov/Services/TRM/ToolPage.aspx?tid=6745^","WebFOCUS Reporting Server")</f>
        <v>WebFOCUS Reporting Server</v>
      </c>
      <c r="B7838" s="4" t="s">
        <v>877</v>
      </c>
      <c r="C7838" s="8" t="s">
        <v>5</v>
      </c>
      <c r="D7838" s="11" t="s">
        <v>301</v>
      </c>
    </row>
    <row r="7839" spans="1:4" ht="30">
      <c r="A7839" s="5" t="str">
        <f>HYPERLINK("https://www.oit.va.gov/Services/TRM/ToolPage.aspx?tid=8096^","Tibco Managed File Transfer")</f>
        <v>Tibco Managed File Transfer</v>
      </c>
      <c r="B7839" s="4" t="s">
        <v>877</v>
      </c>
      <c r="C7839" s="8" t="s">
        <v>5</v>
      </c>
      <c r="D7839" s="11" t="s">
        <v>3578</v>
      </c>
    </row>
    <row r="7840" spans="1:4" ht="30">
      <c r="A7840" s="5" t="str">
        <f>HYPERLINK("https://www.oit.va.gov/Services/TRM/ToolPage.aspx?tid=5795^","iWay Service Manager")</f>
        <v>iWay Service Manager</v>
      </c>
      <c r="B7840" s="4" t="s">
        <v>877</v>
      </c>
      <c r="C7840" s="8" t="s">
        <v>5</v>
      </c>
      <c r="D7840" s="11" t="s">
        <v>4290</v>
      </c>
    </row>
    <row r="7841" spans="1:4" ht="30">
      <c r="A7841" s="5" t="str">
        <f>HYPERLINK("https://www.oit.va.gov/Services/TRM/ToolPage.aspx?tid=5171^","JasperReports Library")</f>
        <v>JasperReports Library</v>
      </c>
      <c r="B7841" s="4" t="s">
        <v>877</v>
      </c>
      <c r="C7841" s="8" t="s">
        <v>5</v>
      </c>
      <c r="D7841" s="11" t="s">
        <v>4299</v>
      </c>
    </row>
    <row r="7842" spans="1:4" ht="30">
      <c r="A7842" s="5" t="str">
        <f>HYPERLINK("https://www.oit.va.gov/Services/TRM/ToolPage.aspx?tid=15938^","TIBCO Data Science Operations")</f>
        <v>TIBCO Data Science Operations</v>
      </c>
      <c r="B7842" s="4" t="s">
        <v>877</v>
      </c>
      <c r="C7842" s="8" t="s">
        <v>5</v>
      </c>
      <c r="D7842" s="11" t="s">
        <v>366</v>
      </c>
    </row>
    <row r="7843" spans="1:4" ht="30">
      <c r="A7843" s="5" t="str">
        <f>HYPERLINK("https://www.oit.va.gov/Services/TRM/ToolPage.aspx?tid=15995^","TIBCO Enterprise Runtime for R (TERR)")</f>
        <v>TIBCO Enterprise Runtime for R (TERR)</v>
      </c>
      <c r="B7843" s="4" t="s">
        <v>877</v>
      </c>
      <c r="C7843" s="8" t="s">
        <v>5</v>
      </c>
      <c r="D7843" s="11" t="s">
        <v>4907</v>
      </c>
    </row>
    <row r="7844" spans="1:4" ht="30">
      <c r="A7844" s="5" t="str">
        <f>HYPERLINK("https://www.oit.va.gov/Services/TRM/ToolPage.aspx?tid=8441^","TIBCO Spotfire Advanced Data Services")</f>
        <v>TIBCO Spotfire Advanced Data Services</v>
      </c>
      <c r="B7844" s="4" t="s">
        <v>877</v>
      </c>
      <c r="C7844" s="8" t="s">
        <v>5</v>
      </c>
      <c r="D7844" s="11" t="s">
        <v>1996</v>
      </c>
    </row>
    <row r="7845" spans="1:4" ht="30">
      <c r="A7845" s="5" t="str">
        <f>HYPERLINK("https://www.oit.va.gov/Services/TRM/ToolPage.aspx?tid=15999^","TIBCO Statistica")</f>
        <v>TIBCO Statistica</v>
      </c>
      <c r="B7845" s="4" t="s">
        <v>877</v>
      </c>
      <c r="C7845" s="8" t="s">
        <v>5</v>
      </c>
      <c r="D7845" s="11" t="s">
        <v>4907</v>
      </c>
    </row>
    <row r="7846" spans="1:4" ht="30">
      <c r="A7846" s="5" t="str">
        <f>HYPERLINK("https://www.oit.va.gov/Services/TRM/ToolPage.aspx?tid=15994^","TIBCO Team Studio")</f>
        <v>TIBCO Team Studio</v>
      </c>
      <c r="B7846" s="4" t="s">
        <v>877</v>
      </c>
      <c r="C7846" s="8" t="s">
        <v>5</v>
      </c>
      <c r="D7846" s="11" t="s">
        <v>4907</v>
      </c>
    </row>
    <row r="7847" spans="1:4" ht="30">
      <c r="A7847" s="5" t="str">
        <f>HYPERLINK("https://www.oit.va.gov/Services/TRM/ToolPage.aspx?tid=9350^","WebFOCUS Business Intelligence (BI) and Analytics")</f>
        <v>WebFOCUS Business Intelligence (BI) and Analytics</v>
      </c>
      <c r="B7847" s="4" t="s">
        <v>877</v>
      </c>
      <c r="C7847" s="8" t="s">
        <v>5</v>
      </c>
      <c r="D7847" s="11" t="s">
        <v>533</v>
      </c>
    </row>
    <row r="7848" spans="1:4" ht="30">
      <c r="A7848" s="5" t="str">
        <f>HYPERLINK("https://www.oit.va.gov/Services/TRM/ToolPage.aspx?tid=6490^","Scribe Insight")</f>
        <v>Scribe Insight</v>
      </c>
      <c r="B7848" s="4" t="s">
        <v>877</v>
      </c>
      <c r="C7848" s="8" t="s">
        <v>5</v>
      </c>
      <c r="D7848" s="11" t="s">
        <v>1920</v>
      </c>
    </row>
    <row r="7849" spans="1:4" ht="30">
      <c r="A7849" s="5" t="str">
        <f>HYPERLINK("https://www.oit.va.gov/Services/TRM/ToolPage.aspx?tid=6863^","Foresight Health Insurance Portability and Accountability Act (HIPAA) Validator Desktop")</f>
        <v>Foresight Health Insurance Portability and Accountability Act (HIPAA) Validator Desktop</v>
      </c>
      <c r="B7849" s="4" t="s">
        <v>877</v>
      </c>
      <c r="C7849" s="8" t="s">
        <v>5</v>
      </c>
      <c r="D7849" s="11" t="s">
        <v>5620</v>
      </c>
    </row>
    <row r="7850" spans="1:4" ht="30">
      <c r="A7850" s="5" t="str">
        <f>HYPERLINK("https://www.oit.va.gov/Services/TRM/ToolPage.aspx?tid=10989^","TIBCO ActiveMatrix BusinessWorks")</f>
        <v>TIBCO ActiveMatrix BusinessWorks</v>
      </c>
      <c r="B7850" s="4" t="s">
        <v>877</v>
      </c>
      <c r="C7850" s="8" t="s">
        <v>5</v>
      </c>
      <c r="D7850" s="11" t="s">
        <v>7228</v>
      </c>
    </row>
    <row r="7851" spans="1:4" ht="30">
      <c r="A7851" s="5" t="str">
        <f>HYPERLINK("https://www.oit.va.gov/Services/TRM/ToolPage.aspx?tid=9160^","TIBCO Spotfire Web Player")</f>
        <v>TIBCO Spotfire Web Player</v>
      </c>
      <c r="B7851" s="4" t="s">
        <v>877</v>
      </c>
      <c r="C7851" s="8" t="s">
        <v>5</v>
      </c>
      <c r="D7851" s="11" t="s">
        <v>2019</v>
      </c>
    </row>
    <row r="7852" spans="1:4" ht="30">
      <c r="A7852" s="5" t="str">
        <f>HYPERLINK("https://www.oit.va.gov/Services/TRM/ToolPage.aspx?tid=16526^","TiddlyWiki")</f>
        <v>TiddlyWiki</v>
      </c>
      <c r="B7852" s="4" t="s">
        <v>4908</v>
      </c>
      <c r="C7852" s="8" t="s">
        <v>5</v>
      </c>
      <c r="D7852" s="11" t="s">
        <v>4909</v>
      </c>
    </row>
    <row r="7853" spans="1:4" ht="30">
      <c r="A7853" s="5" t="str">
        <f>HYPERLINK("https://www.oit.va.gov/Services/TRM/ToolPage.aspx?tid=15453^","Tidepool Uploader")</f>
        <v>Tidepool Uploader</v>
      </c>
      <c r="B7853" s="4" t="s">
        <v>4910</v>
      </c>
      <c r="C7853" s="8" t="s">
        <v>5</v>
      </c>
      <c r="D7853" s="11" t="s">
        <v>4057</v>
      </c>
    </row>
    <row r="7854" spans="1:4" ht="30">
      <c r="A7854" s="5" t="str">
        <f>HYPERLINK("https://www.oit.va.gov/Services/TRM/ToolPage.aspx?tid=14561^","TigerConnect")</f>
        <v>TigerConnect</v>
      </c>
      <c r="B7854" s="4" t="s">
        <v>4911</v>
      </c>
      <c r="C7854" s="8" t="s">
        <v>5</v>
      </c>
      <c r="D7854" s="11" t="s">
        <v>1718</v>
      </c>
    </row>
    <row r="7855" spans="1:4" ht="30">
      <c r="A7855" s="5" t="str">
        <f>HYPERLINK("https://www.oit.va.gov/Services/TRM/ToolPage.aspx?tid=8428^","TigerVNC")</f>
        <v>TigerVNC</v>
      </c>
      <c r="B7855" s="4" t="s">
        <v>2324</v>
      </c>
      <c r="C7855" s="8" t="s">
        <v>5</v>
      </c>
      <c r="D7855" s="11" t="s">
        <v>2325</v>
      </c>
    </row>
    <row r="7856" spans="1:4" ht="30">
      <c r="A7856" s="5" t="str">
        <f>HYPERLINK("https://www.oit.va.gov/Services/TRM/ToolPage.aspx?tid=13957^","Carousel Digital Signage Software")</f>
        <v>Carousel Digital Signage Software</v>
      </c>
      <c r="B7856" s="4" t="s">
        <v>6386</v>
      </c>
      <c r="C7856" s="8" t="s">
        <v>5</v>
      </c>
      <c r="D7856" s="11" t="s">
        <v>1409</v>
      </c>
    </row>
    <row r="7857" spans="1:4" ht="30">
      <c r="A7857" s="5" t="str">
        <f>HYPERLINK("https://www.oit.va.gov/Services/TRM/ToolPage.aspx?tid=1024^","Antelope")</f>
        <v>Antelope</v>
      </c>
      <c r="B7857" s="4" t="s">
        <v>3145</v>
      </c>
      <c r="C7857" s="8" t="s">
        <v>5</v>
      </c>
      <c r="D7857" s="11" t="s">
        <v>3146</v>
      </c>
    </row>
    <row r="7858" spans="1:4" ht="30">
      <c r="A7858" s="5" t="str">
        <f>HYPERLINK("https://www.oit.va.gov/Services/TRM/ToolPage.aspx?tid=13584^","Monit")</f>
        <v>Monit</v>
      </c>
      <c r="B7858" s="4" t="s">
        <v>3397</v>
      </c>
      <c r="C7858" s="8" t="s">
        <v>5</v>
      </c>
      <c r="D7858" s="11" t="s">
        <v>3398</v>
      </c>
    </row>
    <row r="7859" spans="1:4" ht="30">
      <c r="A7859" s="5" t="str">
        <f>HYPERLINK("https://www.oit.va.gov/Services/TRM/ToolPage.aspx?tid=11452^","Xenu`s Link Sleuth")</f>
        <v>Xenu`s Link Sleuth</v>
      </c>
      <c r="B7859" s="4" t="s">
        <v>3094</v>
      </c>
      <c r="C7859" s="8" t="s">
        <v>5</v>
      </c>
      <c r="D7859" s="11" t="s">
        <v>3095</v>
      </c>
    </row>
    <row r="7860" spans="1:4" ht="30">
      <c r="A7860" s="5" t="str">
        <f>HYPERLINK("https://www.oit.va.gov/Services/TRM/ToolPage.aspx?tid=5008^","Abbot Java Graphical User Interface (GUI) Test Framework")</f>
        <v>Abbot Java Graphical User Interface (GUI) Test Framework</v>
      </c>
      <c r="B7860" s="4" t="s">
        <v>5026</v>
      </c>
      <c r="C7860" s="8" t="s">
        <v>5</v>
      </c>
      <c r="D7860" s="11" t="s">
        <v>5027</v>
      </c>
    </row>
    <row r="7861" spans="1:4" ht="30">
      <c r="A7861" s="5" t="str">
        <f>HYPERLINK("https://www.oit.va.gov/Services/TRM/ToolPage.aspx?tid=10747^","TIMS Review")</f>
        <v>TIMS Review</v>
      </c>
      <c r="B7861" s="4" t="s">
        <v>4913</v>
      </c>
      <c r="C7861" s="8" t="s">
        <v>5</v>
      </c>
      <c r="D7861" s="11" t="s">
        <v>2997</v>
      </c>
    </row>
    <row r="7862" spans="1:4" ht="30">
      <c r="A7862" s="5" t="str">
        <f>HYPERLINK("https://www.oit.va.gov/Services/TRM/ToolPage.aspx?tid=13905^","Plupload")</f>
        <v>Plupload</v>
      </c>
      <c r="B7862" s="4" t="s">
        <v>8441</v>
      </c>
      <c r="C7862" s="8" t="s">
        <v>5</v>
      </c>
      <c r="D7862" s="11" t="s">
        <v>8442</v>
      </c>
    </row>
    <row r="7863" spans="1:4" ht="30">
      <c r="A7863" s="5" t="str">
        <f>HYPERLINK("https://www.oit.va.gov/Services/TRM/ToolPage.aspx?tid=8625^","Inform.NET")</f>
        <v>Inform.NET</v>
      </c>
      <c r="B7863" s="4" t="s">
        <v>1173</v>
      </c>
      <c r="C7863" s="8" t="s">
        <v>5</v>
      </c>
      <c r="D7863" s="11" t="s">
        <v>1174</v>
      </c>
    </row>
    <row r="7864" spans="1:4" ht="30">
      <c r="A7864" s="5" t="str">
        <f>HYPERLINK("https://www.oit.va.gov/Services/TRM/ToolPage.aspx?tid=7276^","TITUS Message Classification for Outlook")</f>
        <v>TITUS Message Classification for Outlook</v>
      </c>
      <c r="B7864" s="4" t="s">
        <v>8811</v>
      </c>
      <c r="C7864" s="8" t="s">
        <v>5</v>
      </c>
      <c r="D7864" s="11" t="s">
        <v>8812</v>
      </c>
    </row>
    <row r="7865" spans="1:4" ht="30">
      <c r="A7865" s="5" t="str">
        <f>HYPERLINK("https://www.oit.va.gov/Services/TRM/ToolPage.aspx?tid=7016^","TMS Visual Component Library (VCL) User Interface (UI) Pack")</f>
        <v>TMS Visual Component Library (VCL) User Interface (UI) Pack</v>
      </c>
      <c r="B7865" s="4" t="s">
        <v>4915</v>
      </c>
      <c r="C7865" s="8" t="s">
        <v>5</v>
      </c>
      <c r="D7865" s="11" t="s">
        <v>4222</v>
      </c>
    </row>
    <row r="7866" spans="1:4" ht="30">
      <c r="A7866" s="5" t="str">
        <f>HYPERLINK("https://www.oit.va.gov/Services/TRM/ToolPage.aspx?tid=14385^","Boardmaker")</f>
        <v>Boardmaker</v>
      </c>
      <c r="B7866" s="4" t="s">
        <v>3177</v>
      </c>
      <c r="C7866" s="8" t="s">
        <v>5</v>
      </c>
      <c r="D7866" s="11" t="s">
        <v>3178</v>
      </c>
    </row>
    <row r="7867" spans="1:4" ht="30">
      <c r="A7867" s="5" t="str">
        <f>HYPERLINK("https://www.oit.va.gov/Services/TRM/ToolPage.aspx?tid=16141^","Tobii Pro Eye Tracker Manager")</f>
        <v>Tobii Pro Eye Tracker Manager</v>
      </c>
      <c r="B7867" s="4" t="s">
        <v>6115</v>
      </c>
      <c r="C7867" s="8" t="s">
        <v>5</v>
      </c>
      <c r="D7867" s="11" t="s">
        <v>30</v>
      </c>
    </row>
    <row r="7868" spans="1:4" ht="30">
      <c r="A7868" s="5" t="str">
        <f>HYPERLINK("https://www.oit.va.gov/Services/TRM/ToolPage.aspx?tid=14318^","Tobii Pro Lab")</f>
        <v>Tobii Pro Lab</v>
      </c>
      <c r="B7868" s="4" t="s">
        <v>6115</v>
      </c>
      <c r="C7868" s="8" t="s">
        <v>5</v>
      </c>
      <c r="D7868" s="11" t="s">
        <v>2968</v>
      </c>
    </row>
    <row r="7869" spans="1:4" ht="30">
      <c r="A7869" s="5" t="str">
        <f>HYPERLINK("https://www.oit.va.gov/Services/TRM/ToolPage.aspx?tid=16014^","Tobii Dynavox (TD) Control")</f>
        <v>Tobii Dynavox (TD) Control</v>
      </c>
      <c r="B7869" s="4" t="s">
        <v>6115</v>
      </c>
      <c r="C7869" s="8" t="s">
        <v>5</v>
      </c>
      <c r="D7869" s="11" t="s">
        <v>2031</v>
      </c>
    </row>
    <row r="7870" spans="1:4" ht="30">
      <c r="A7870" s="5" t="str">
        <f>HYPERLINK("https://www.oit.va.gov/Services/TRM/ToolPage.aspx?tid=8253^","Tobii Pro Studio")</f>
        <v>Tobii Pro Studio</v>
      </c>
      <c r="B7870" s="4" t="s">
        <v>6115</v>
      </c>
      <c r="C7870" s="8" t="s">
        <v>5</v>
      </c>
      <c r="D7870" s="11" t="s">
        <v>1216</v>
      </c>
    </row>
    <row r="7871" spans="1:4" ht="30">
      <c r="A7871" s="5" t="str">
        <f>HYPERLINK("https://www.oit.va.gov/Services/TRM/ToolPage.aspx?tid=14324^","Universal Serial Bus (USB) Packet Capture")</f>
        <v>Universal Serial Bus (USB) Packet Capture</v>
      </c>
      <c r="B7871" s="4" t="s">
        <v>8851</v>
      </c>
      <c r="C7871" s="8" t="s">
        <v>5</v>
      </c>
      <c r="D7871" s="11" t="s">
        <v>8825</v>
      </c>
    </row>
    <row r="7872" spans="1:4" ht="30">
      <c r="A7872" s="5" t="str">
        <f>HYPERLINK("https://www.oit.va.gov/Services/TRM/ToolPage.aspx?tid=10914^","SliceOmatic")</f>
        <v>SliceOmatic</v>
      </c>
      <c r="B7872" s="4" t="s">
        <v>855</v>
      </c>
      <c r="C7872" s="8" t="s">
        <v>5</v>
      </c>
      <c r="D7872" s="11" t="s">
        <v>324</v>
      </c>
    </row>
    <row r="7873" spans="1:4" ht="30">
      <c r="A7873" s="5" t="str">
        <f>HYPERLINK("https://www.oit.va.gov/Services/TRM/ToolPage.aspx?tid=16524^","TomTom API")</f>
        <v>TomTom API</v>
      </c>
      <c r="B7873" s="4" t="s">
        <v>4916</v>
      </c>
      <c r="C7873" s="8" t="s">
        <v>5</v>
      </c>
      <c r="D7873" s="11" t="s">
        <v>4917</v>
      </c>
    </row>
    <row r="7874" spans="1:4" ht="30">
      <c r="A7874" s="5" t="str">
        <f>HYPERLINK("https://www.oit.va.gov/Services/TRM/ToolPage.aspx?tid=15281^","SigPlus Adjust")</f>
        <v>SigPlus Adjust</v>
      </c>
      <c r="B7874" s="4" t="s">
        <v>4788</v>
      </c>
      <c r="C7874" s="8" t="s">
        <v>5</v>
      </c>
      <c r="D7874" s="11" t="s">
        <v>4789</v>
      </c>
    </row>
    <row r="7875" spans="1:4" ht="30">
      <c r="A7875" s="5" t="str">
        <f>HYPERLINK("https://www.oit.va.gov/Services/TRM/ToolPage.aspx?tid=12984^","Topaz Studio")</f>
        <v>Topaz Studio</v>
      </c>
      <c r="B7875" s="4" t="s">
        <v>4788</v>
      </c>
      <c r="C7875" s="8" t="s">
        <v>5</v>
      </c>
      <c r="D7875" s="11" t="s">
        <v>640</v>
      </c>
    </row>
    <row r="7876" spans="1:4" ht="30">
      <c r="A7876" s="5" t="str">
        <f>HYPERLINK("https://www.oit.va.gov/Services/TRM/ToolPage.aspx?tid=5611^","pDoc Signer")</f>
        <v>pDoc Signer</v>
      </c>
      <c r="B7876" s="4" t="s">
        <v>2842</v>
      </c>
      <c r="C7876" s="8" t="s">
        <v>5</v>
      </c>
      <c r="D7876" s="11" t="s">
        <v>2843</v>
      </c>
    </row>
    <row r="7877" spans="1:4" ht="30">
      <c r="A7877" s="5" t="str">
        <f>HYPERLINK("https://www.oit.va.gov/Services/TRM/ToolPage.aspx?tid=6135^","SigPlus")</f>
        <v>SigPlus</v>
      </c>
      <c r="B7877" s="4" t="s">
        <v>2842</v>
      </c>
      <c r="C7877" s="8" t="s">
        <v>5</v>
      </c>
      <c r="D7877" s="11" t="s">
        <v>1920</v>
      </c>
    </row>
    <row r="7878" spans="1:4" ht="30">
      <c r="A7878" s="5" t="str">
        <f>HYPERLINK("https://www.oit.va.gov/Services/TRM/ToolPage.aspx?tid=9543^","Sigtool Imager Plus")</f>
        <v>Sigtool Imager Plus</v>
      </c>
      <c r="B7878" s="4" t="s">
        <v>2842</v>
      </c>
      <c r="C7878" s="8" t="s">
        <v>5</v>
      </c>
      <c r="D7878" s="11" t="s">
        <v>1963</v>
      </c>
    </row>
    <row r="7879" spans="1:4" ht="30">
      <c r="A7879" s="5" t="str">
        <f>HYPERLINK("https://www.oit.va.gov/Services/TRM/ToolPage.aspx?tid=8357^","SigWeb")</f>
        <v>SigWeb</v>
      </c>
      <c r="B7879" s="4" t="s">
        <v>2842</v>
      </c>
      <c r="C7879" s="8" t="s">
        <v>5</v>
      </c>
      <c r="D7879" s="11" t="s">
        <v>1004</v>
      </c>
    </row>
    <row r="7880" spans="1:4" ht="30">
      <c r="A7880" s="5" t="str">
        <f>HYPERLINK("https://www.oit.va.gov/Services/TRM/ToolPage.aspx?tid=14684^","Topaz Microsoft Office Plug-Ins")</f>
        <v>Topaz Microsoft Office Plug-Ins</v>
      </c>
      <c r="B7880" s="4" t="s">
        <v>2842</v>
      </c>
      <c r="C7880" s="8" t="s">
        <v>5</v>
      </c>
      <c r="D7880" s="11" t="s">
        <v>117</v>
      </c>
    </row>
    <row r="7881" spans="1:4" ht="30">
      <c r="A7881" s="5" t="str">
        <f>HYPERLINK("https://www.oit.va.gov/Services/TRM/ToolPage.aspx?tid=5626^","IMAGEnet")</f>
        <v>IMAGEnet</v>
      </c>
      <c r="B7881" s="4" t="s">
        <v>2663</v>
      </c>
      <c r="C7881" s="8" t="s">
        <v>5</v>
      </c>
      <c r="D7881" s="11" t="s">
        <v>969</v>
      </c>
    </row>
    <row r="7882" spans="1:4" ht="30">
      <c r="A7882" s="5" t="str">
        <f>HYPERLINK("https://www.oit.va.gov/Services/TRM/ToolPage.aspx?tid=15844^","Topcon EZ-Capture")</f>
        <v>Topcon EZ-Capture</v>
      </c>
      <c r="B7882" s="4" t="s">
        <v>2663</v>
      </c>
      <c r="C7882" s="8" t="s">
        <v>5</v>
      </c>
      <c r="D7882" s="11" t="s">
        <v>3088</v>
      </c>
    </row>
    <row r="7883" spans="1:4" ht="30">
      <c r="A7883" s="5" t="str">
        <f>HYPERLINK("https://www.oit.va.gov/Services/TRM/ToolPage.aspx?tid=9052^","Synergy Ophthalmic Data Management (ODM) System")</f>
        <v>Synergy Ophthalmic Data Management (ODM) System</v>
      </c>
      <c r="B7883" s="4" t="s">
        <v>2663</v>
      </c>
      <c r="C7883" s="8" t="s">
        <v>5</v>
      </c>
      <c r="D7883" s="11" t="s">
        <v>5409</v>
      </c>
    </row>
    <row r="7884" spans="1:4" ht="30">
      <c r="A7884" s="5" t="str">
        <f>HYPERLINK("https://www.oit.va.gov/Services/TRM/ToolPage.aspx?tid=13992^","Topcon Harmony")</f>
        <v>Topcon Harmony</v>
      </c>
      <c r="B7884" s="4" t="s">
        <v>2663</v>
      </c>
      <c r="C7884" s="8" t="s">
        <v>5</v>
      </c>
      <c r="D7884" s="11" t="s">
        <v>3091</v>
      </c>
    </row>
    <row r="7885" spans="1:4" ht="30">
      <c r="A7885" s="5" t="str">
        <f>HYPERLINK("https://www.oit.va.gov/Services/TRM/ToolPage.aspx?tid=8364^","Torch")</f>
        <v>Torch</v>
      </c>
      <c r="B7885" s="4" t="s">
        <v>8817</v>
      </c>
      <c r="C7885" s="8" t="s">
        <v>5</v>
      </c>
      <c r="D7885" s="11" t="s">
        <v>6901</v>
      </c>
    </row>
    <row r="7886" spans="1:4" ht="30">
      <c r="A7886" s="5" t="str">
        <f>HYPERLINK("https://www.oit.va.gov/Services/TRM/ToolPage.aspx?tid=16294^","TORO Sentinel Central Control")</f>
        <v>TORO Sentinel Central Control</v>
      </c>
      <c r="B7886" s="4" t="s">
        <v>4918</v>
      </c>
      <c r="C7886" s="8" t="s">
        <v>5</v>
      </c>
      <c r="D7886" s="11" t="s">
        <v>4919</v>
      </c>
    </row>
    <row r="7887" spans="1:4" ht="30">
      <c r="A7887" s="5" t="str">
        <f>HYPERLINK("https://www.oit.va.gov/Services/TRM/ToolPage.aspx?tid=9460^","TortoiseGit")</f>
        <v>TortoiseGit</v>
      </c>
      <c r="B7887" s="4" t="s">
        <v>5555</v>
      </c>
      <c r="C7887" s="8" t="s">
        <v>5</v>
      </c>
      <c r="D7887" s="11" t="s">
        <v>3340</v>
      </c>
    </row>
    <row r="7888" spans="1:4" ht="30">
      <c r="A7888" s="5" t="str">
        <f>HYPERLINK("https://www.oit.va.gov/Services/TRM/ToolPage.aspx?tid=14700^","TortoiseHg")</f>
        <v>TortoiseHg</v>
      </c>
      <c r="B7888" s="4" t="s">
        <v>7236</v>
      </c>
      <c r="C7888" s="8" t="s">
        <v>5</v>
      </c>
      <c r="D7888" s="11" t="s">
        <v>5552</v>
      </c>
    </row>
    <row r="7889" spans="1:4" ht="30">
      <c r="A7889" s="5" t="str">
        <f>HYPERLINK("https://www.oit.va.gov/Services/TRM/ToolPage.aspx?tid=13799^","FMAudit Local Agent")</f>
        <v>FMAudit Local Agent</v>
      </c>
      <c r="B7889" s="4" t="s">
        <v>3301</v>
      </c>
      <c r="C7889" s="8" t="s">
        <v>5</v>
      </c>
      <c r="D7889" s="11" t="s">
        <v>3302</v>
      </c>
    </row>
    <row r="7890" spans="1:4" ht="30">
      <c r="A7890" s="5" t="str">
        <f>HYPERLINK("https://www.oit.va.gov/Services/TRM/ToolPage.aspx?tid=8166^","FMAudit Onsite")</f>
        <v>FMAudit Onsite</v>
      </c>
      <c r="B7890" s="4" t="s">
        <v>3301</v>
      </c>
      <c r="C7890" s="8" t="s">
        <v>5</v>
      </c>
      <c r="D7890" s="11" t="s">
        <v>4143</v>
      </c>
    </row>
    <row r="7891" spans="1:4" ht="30">
      <c r="A7891" s="5" t="str">
        <f>HYPERLINK("https://www.oit.va.gov/Services/TRM/ToolPage.aspx?tid=13798^","FMAudit Central Server")</f>
        <v>FMAudit Central Server</v>
      </c>
      <c r="B7891" s="4" t="s">
        <v>3301</v>
      </c>
      <c r="C7891" s="8" t="s">
        <v>5</v>
      </c>
      <c r="D7891" s="11" t="s">
        <v>5202</v>
      </c>
    </row>
    <row r="7892" spans="1:4" ht="30">
      <c r="A7892" s="5" t="str">
        <f>HYPERLINK("https://www.oit.va.gov/Services/TRM/ToolPage.aspx?tid=8365^","Toshiba Call Manager")</f>
        <v>Toshiba Call Manager</v>
      </c>
      <c r="B7892" s="4" t="s">
        <v>3301</v>
      </c>
      <c r="C7892" s="8" t="s">
        <v>5</v>
      </c>
      <c r="D7892" s="11" t="s">
        <v>8818</v>
      </c>
    </row>
    <row r="7893" spans="1:4" ht="30">
      <c r="A7893" s="5" t="str">
        <f>HYPERLINK("https://www.oit.va.gov/Services/TRM/ToolPage.aspx?tid=8238^","Totara Learn")</f>
        <v>Totara Learn</v>
      </c>
      <c r="B7893" s="4" t="s">
        <v>8822</v>
      </c>
      <c r="C7893" s="8" t="s">
        <v>5</v>
      </c>
      <c r="D7893" s="11" t="s">
        <v>8823</v>
      </c>
    </row>
    <row r="7894" spans="1:4" ht="30">
      <c r="A7894" s="5" t="str">
        <f>HYPERLINK("https://www.oit.va.gov/Services/TRM/ToolPage.aspx?tid=7803^","Biosim")</f>
        <v>Biosim</v>
      </c>
      <c r="B7894" s="4" t="s">
        <v>2226</v>
      </c>
      <c r="C7894" s="8" t="s">
        <v>5</v>
      </c>
      <c r="D7894" s="11" t="s">
        <v>2133</v>
      </c>
    </row>
    <row r="7895" spans="1:4" ht="30">
      <c r="A7895" s="5" t="str">
        <f>HYPERLINK("https://www.oit.va.gov/Services/TRM/ToolPage.aspx?tid=15263^","VH Dissector")</f>
        <v>VH Dissector</v>
      </c>
      <c r="B7895" s="4" t="s">
        <v>7284</v>
      </c>
      <c r="C7895" s="8" t="s">
        <v>5</v>
      </c>
      <c r="D7895" s="11" t="s">
        <v>1206</v>
      </c>
    </row>
    <row r="7896" spans="1:4" ht="30">
      <c r="A7896" s="5" t="str">
        <f>HYPERLINK("https://www.oit.va.gov/Services/TRM/ToolPage.aspx?tid=11693^","TouchGraph Navigator")</f>
        <v>TouchGraph Navigator</v>
      </c>
      <c r="B7896" s="4" t="s">
        <v>1997</v>
      </c>
      <c r="C7896" s="8" t="s">
        <v>5</v>
      </c>
      <c r="D7896" s="11" t="s">
        <v>1998</v>
      </c>
    </row>
    <row r="7897" spans="1:4" ht="30">
      <c r="A7897" s="5" t="str">
        <f>HYPERLINK("https://www.oit.va.gov/Services/TRM/ToolPage.aspx?tid=15842^","AccessRx Med Manager")</f>
        <v>AccessRx Med Manager</v>
      </c>
      <c r="B7897" s="4" t="s">
        <v>545</v>
      </c>
      <c r="C7897" s="8" t="s">
        <v>5</v>
      </c>
      <c r="D7897" s="11" t="s">
        <v>242</v>
      </c>
    </row>
    <row r="7898" spans="1:4" ht="30">
      <c r="A7898" s="5" t="str">
        <f>HYPERLINK("https://www.oit.va.gov/Services/TRM/ToolPage.aspx?tid=9200^","TrackCore Operating Room")</f>
        <v>TrackCore Operating Room</v>
      </c>
      <c r="B7898" s="4" t="s">
        <v>471</v>
      </c>
      <c r="C7898" s="8" t="s">
        <v>5</v>
      </c>
      <c r="D7898" s="11" t="s">
        <v>472</v>
      </c>
    </row>
    <row r="7899" spans="1:4" ht="30">
      <c r="A7899" s="5" t="str">
        <f>HYPERLINK("https://www.oit.va.gov/Services/TRM/ToolPage.aspx?tid=6098^","Portable Document Format (PDF)-XChange")</f>
        <v>Portable Document Format (PDF)-XChange</v>
      </c>
      <c r="B7899" s="4" t="s">
        <v>5433</v>
      </c>
      <c r="C7899" s="8" t="s">
        <v>5</v>
      </c>
      <c r="D7899" s="11" t="s">
        <v>5434</v>
      </c>
    </row>
    <row r="7900" spans="1:4" ht="30">
      <c r="A7900" s="5" t="str">
        <f>HYPERLINK("https://www.oit.va.gov/Services/TRM/ToolPage.aspx?tid=5116^","TeamPage")</f>
        <v>TeamPage</v>
      </c>
      <c r="B7900" s="4" t="s">
        <v>7214</v>
      </c>
      <c r="C7900" s="8" t="s">
        <v>5</v>
      </c>
      <c r="D7900" s="11" t="s">
        <v>7215</v>
      </c>
    </row>
    <row r="7901" spans="1:4" ht="30">
      <c r="A7901" s="5" t="str">
        <f>HYPERLINK("https://www.oit.va.gov/Services/TRM/ToolPage.aspx?tid=9784^","TRADEPAQ.enable")</f>
        <v>TRADEPAQ.enable</v>
      </c>
      <c r="B7901" s="4" t="s">
        <v>3030</v>
      </c>
      <c r="C7901" s="8" t="s">
        <v>5</v>
      </c>
      <c r="D7901" s="11" t="s">
        <v>3031</v>
      </c>
    </row>
    <row r="7902" spans="1:4" ht="30">
      <c r="A7902" s="5" t="str">
        <f>HYPERLINK("https://www.oit.va.gov/Services/TRM/ToolPage.aspx?tid=11732^","TrakaWEB")</f>
        <v>TrakaWEB</v>
      </c>
      <c r="B7902" s="4" t="s">
        <v>3032</v>
      </c>
      <c r="C7902" s="8" t="s">
        <v>5</v>
      </c>
      <c r="D7902" s="11" t="s">
        <v>3033</v>
      </c>
    </row>
    <row r="7903" spans="1:4" ht="30">
      <c r="A7903" s="5" t="str">
        <f>HYPERLINK("https://www.oit.va.gov/Services/TRM/ToolPage.aspx?tid=12966^","Tracer Ensemble")</f>
        <v>Tracer Ensemble</v>
      </c>
      <c r="B7903" s="4" t="s">
        <v>335</v>
      </c>
      <c r="C7903" s="8" t="s">
        <v>5</v>
      </c>
      <c r="D7903" s="11" t="s">
        <v>336</v>
      </c>
    </row>
    <row r="7904" spans="1:4" ht="30">
      <c r="A7904" s="5" t="str">
        <f>HYPERLINK("https://www.oit.va.gov/Services/TRM/ToolPage.aspx?tid=16562^","Tracer Summit")</f>
        <v>Tracer Summit</v>
      </c>
      <c r="B7904" s="4" t="s">
        <v>335</v>
      </c>
      <c r="C7904" s="8" t="s">
        <v>5</v>
      </c>
      <c r="D7904" s="11" t="s">
        <v>1816</v>
      </c>
    </row>
    <row r="7905" spans="1:4" ht="30">
      <c r="A7905" s="5" t="str">
        <f>HYPERLINK("https://www.oit.va.gov/Services/TRM/ToolPage.aspx?tid=15757^","TRANE TRACE 3-Dimension (3D) Plus")</f>
        <v>TRANE TRACE 3-Dimension (3D) Plus</v>
      </c>
      <c r="B7905" s="4" t="s">
        <v>335</v>
      </c>
      <c r="C7905" s="8" t="s">
        <v>5</v>
      </c>
      <c r="D7905" s="11" t="s">
        <v>4923</v>
      </c>
    </row>
    <row r="7906" spans="1:4" ht="30">
      <c r="A7906" s="5" t="str">
        <f>HYPERLINK("https://www.oit.va.gov/Services/TRM/ToolPage.aspx?tid=8425^","TRACE 700")</f>
        <v>TRACE 700</v>
      </c>
      <c r="B7906" s="4" t="s">
        <v>335</v>
      </c>
      <c r="C7906" s="8" t="s">
        <v>5</v>
      </c>
      <c r="D7906" s="11" t="s">
        <v>3965</v>
      </c>
    </row>
    <row r="7907" spans="1:4" ht="30">
      <c r="A7907" s="5" t="str">
        <f>HYPERLINK("https://www.oit.va.gov/Services/TRM/ToolPage.aspx?tid=15847^","Tracer TU Service Tool")</f>
        <v>Tracer TU Service Tool</v>
      </c>
      <c r="B7907" s="4" t="s">
        <v>335</v>
      </c>
      <c r="C7907" s="8" t="s">
        <v>5</v>
      </c>
      <c r="D7907" s="11" t="s">
        <v>5622</v>
      </c>
    </row>
    <row r="7908" spans="1:4" ht="30">
      <c r="A7908" s="5" t="str">
        <f>HYPERLINK("https://www.oit.va.gov/Services/TRM/ToolPage.aspx?tid=6161^","Kaplan (IT) Training")</f>
        <v>Kaplan (IT) Training</v>
      </c>
      <c r="B7908" s="4" t="s">
        <v>8139</v>
      </c>
      <c r="C7908" s="8" t="s">
        <v>5</v>
      </c>
      <c r="D7908" s="11" t="s">
        <v>8140</v>
      </c>
    </row>
    <row r="7909" spans="1:4" ht="30">
      <c r="A7909" s="5" t="str">
        <f>HYPERLINK("https://www.oit.va.gov/Services/TRM/ToolPage.aspx?tid=8147^","HD03 Administrator Software")</f>
        <v>HD03 Administrator Software</v>
      </c>
      <c r="B7909" s="4" t="s">
        <v>8013</v>
      </c>
      <c r="C7909" s="8" t="s">
        <v>5</v>
      </c>
      <c r="D7909" s="11" t="s">
        <v>8014</v>
      </c>
    </row>
    <row r="7910" spans="1:4" ht="30">
      <c r="A7910" s="5" t="str">
        <f>HYPERLINK("https://www.oit.va.gov/Services/TRM/ToolPage.aspx?tid=10288^","Regenerator")</f>
        <v>Regenerator</v>
      </c>
      <c r="B7910" s="4" t="s">
        <v>6034</v>
      </c>
      <c r="C7910" s="8" t="s">
        <v>5</v>
      </c>
      <c r="D7910" s="11" t="s">
        <v>6035</v>
      </c>
    </row>
    <row r="7911" spans="1:4" ht="30">
      <c r="A7911" s="5" t="str">
        <f>HYPERLINK("https://www.oit.va.gov/Services/TRM/ToolPage.aspx?tid=9501^","Travis Continuous Integration (CI) Enterprise")</f>
        <v>Travis Continuous Integration (CI) Enterprise</v>
      </c>
      <c r="B7911" s="4" t="s">
        <v>6034</v>
      </c>
      <c r="C7911" s="8" t="s">
        <v>5</v>
      </c>
      <c r="D7911" s="11" t="s">
        <v>2875</v>
      </c>
    </row>
    <row r="7912" spans="1:4" ht="30">
      <c r="A7912" s="5" t="str">
        <f>HYPERLINK("https://www.oit.va.gov/Services/TRM/ToolPage.aspx?tid=7343^","FluentD")</f>
        <v>FluentD</v>
      </c>
      <c r="B7912" s="4" t="s">
        <v>1002</v>
      </c>
      <c r="C7912" s="8" t="s">
        <v>5</v>
      </c>
      <c r="D7912" s="11" t="s">
        <v>1003</v>
      </c>
    </row>
    <row r="7913" spans="1:4" ht="30">
      <c r="A7913" s="5" t="str">
        <f>HYPERLINK("https://www.oit.va.gov/Services/TRM/ToolPage.aspx?tid=7017^","TreeAge Pro")</f>
        <v>TreeAge Pro</v>
      </c>
      <c r="B7913" s="4" t="s">
        <v>270</v>
      </c>
      <c r="C7913" s="8" t="s">
        <v>5</v>
      </c>
      <c r="D7913" s="11" t="s">
        <v>271</v>
      </c>
    </row>
    <row r="7914" spans="1:4" ht="30">
      <c r="A7914" s="5" t="str">
        <f>HYPERLINK("https://www.oit.va.gov/Services/TRM/ToolPage.aspx?tid=15116^","TreeScan")</f>
        <v>TreeScan</v>
      </c>
      <c r="B7914" s="4" t="s">
        <v>4929</v>
      </c>
      <c r="C7914" s="8" t="s">
        <v>5</v>
      </c>
      <c r="D7914" s="11" t="s">
        <v>4272</v>
      </c>
    </row>
    <row r="7915" spans="1:4" ht="30">
      <c r="A7915" s="5" t="str">
        <f>HYPERLINK("https://www.oit.va.gov/Services/TRM/ToolPage.aspx?tid=15202^","Trellix Endpoint Security (ENS)")</f>
        <v>Trellix Endpoint Security (ENS)</v>
      </c>
      <c r="B7915" s="4" t="s">
        <v>156</v>
      </c>
      <c r="C7915" s="8" t="s">
        <v>5</v>
      </c>
      <c r="D7915" s="11" t="s">
        <v>157</v>
      </c>
    </row>
    <row r="7916" spans="1:4" ht="30">
      <c r="A7916" s="5" t="str">
        <f>HYPERLINK("https://www.oit.va.gov/Services/TRM/ToolPage.aspx?tid=14655^","Data Exchange Layer (DXL)")</f>
        <v>Data Exchange Layer (DXL)</v>
      </c>
      <c r="B7916" s="4" t="s">
        <v>156</v>
      </c>
      <c r="C7916" s="8" t="s">
        <v>5</v>
      </c>
      <c r="D7916" s="11" t="s">
        <v>638</v>
      </c>
    </row>
    <row r="7917" spans="1:4" ht="30">
      <c r="A7917" s="5" t="str">
        <f>HYPERLINK("https://www.oit.va.gov/Services/TRM/ToolPage.aspx?tid=14641^","Trellix Threat Intelligence Exchange (TIE)")</f>
        <v>Trellix Threat Intelligence Exchange (TIE)</v>
      </c>
      <c r="B7917" s="4" t="s">
        <v>156</v>
      </c>
      <c r="C7917" s="8" t="s">
        <v>5</v>
      </c>
      <c r="D7917" s="11" t="s">
        <v>881</v>
      </c>
    </row>
    <row r="7918" spans="1:4" ht="30">
      <c r="A7918" s="5" t="str">
        <f>HYPERLINK("https://www.oit.va.gov/Services/TRM/ToolPage.aspx?tid=7355^","Trellix Electronic Policy Orchestrator (ePO)")</f>
        <v>Trellix Electronic Policy Orchestrator (ePO)</v>
      </c>
      <c r="B7918" s="4" t="s">
        <v>156</v>
      </c>
      <c r="C7918" s="8" t="s">
        <v>5</v>
      </c>
      <c r="D7918" s="11" t="s">
        <v>2002</v>
      </c>
    </row>
    <row r="7919" spans="1:4" ht="30">
      <c r="A7919" s="5" t="str">
        <f>HYPERLINK("https://www.oit.va.gov/Services/TRM/ToolPage.aspx?tid=6206^","Trellix Agent")</f>
        <v>Trellix Agent</v>
      </c>
      <c r="B7919" s="4" t="s">
        <v>156</v>
      </c>
      <c r="C7919" s="8" t="s">
        <v>5</v>
      </c>
      <c r="D7919" s="11" t="s">
        <v>3035</v>
      </c>
    </row>
    <row r="7920" spans="1:4" ht="30">
      <c r="A7920" s="5" t="str">
        <f>HYPERLINK("https://www.oit.va.gov/Services/TRM/ToolPage.aspx?tid=8217^","Trellix Data Loss Prevention Endpoint")</f>
        <v>Trellix Data Loss Prevention Endpoint</v>
      </c>
      <c r="B7920" s="4" t="s">
        <v>156</v>
      </c>
      <c r="C7920" s="8" t="s">
        <v>5</v>
      </c>
      <c r="D7920" s="11" t="s">
        <v>674</v>
      </c>
    </row>
    <row r="7921" spans="1:4" ht="30">
      <c r="A7921" s="5" t="str">
        <f>HYPERLINK("https://www.oit.va.gov/Services/TRM/ToolPage.aspx?tid=15785^","Trellix Endpoint Protection")</f>
        <v>Trellix Endpoint Protection</v>
      </c>
      <c r="B7921" s="4" t="s">
        <v>156</v>
      </c>
      <c r="C7921" s="8" t="s">
        <v>5</v>
      </c>
      <c r="D7921" s="11" t="s">
        <v>2275</v>
      </c>
    </row>
    <row r="7922" spans="1:4" ht="30">
      <c r="A7922" s="5" t="str">
        <f>HYPERLINK("https://www.oit.va.gov/Services/TRM/ToolPage.aspx?tid=15552^","Trellix File and Removable Media Protection (FRP)")</f>
        <v>Trellix File and Removable Media Protection (FRP)</v>
      </c>
      <c r="B7922" s="4" t="s">
        <v>156</v>
      </c>
      <c r="C7922" s="8" t="s">
        <v>5</v>
      </c>
      <c r="D7922" s="11" t="s">
        <v>3036</v>
      </c>
    </row>
    <row r="7923" spans="1:4" ht="30">
      <c r="A7923" s="5" t="str">
        <f>HYPERLINK("https://www.oit.va.gov/Services/TRM/ToolPage.aspx?tid=15784^","Endpoint Product Removal Tool (EPR)")</f>
        <v>Endpoint Product Removal Tool (EPR)</v>
      </c>
      <c r="B7923" s="4" t="s">
        <v>156</v>
      </c>
      <c r="C7923" s="8" t="s">
        <v>5</v>
      </c>
      <c r="D7923" s="11" t="s">
        <v>4092</v>
      </c>
    </row>
    <row r="7924" spans="1:4" ht="30">
      <c r="A7924" s="5" t="str">
        <f>HYPERLINK("https://www.oit.va.gov/Services/TRM/ToolPage.aspx?tid=8009^","Trellix Command Line Scanner")</f>
        <v>Trellix Command Line Scanner</v>
      </c>
      <c r="B7924" s="4" t="s">
        <v>156</v>
      </c>
      <c r="C7924" s="8" t="s">
        <v>5</v>
      </c>
      <c r="D7924" s="11" t="s">
        <v>544</v>
      </c>
    </row>
    <row r="7925" spans="1:4" ht="30">
      <c r="A7925" s="5" t="str">
        <f>HYPERLINK("https://www.oit.va.gov/Services/TRM/ToolPage.aspx?tid=5647^","Trellix Intrusion Prevention System")</f>
        <v>Trellix Intrusion Prevention System</v>
      </c>
      <c r="B7925" s="4" t="s">
        <v>156</v>
      </c>
      <c r="C7925" s="8" t="s">
        <v>5</v>
      </c>
      <c r="D7925" s="11" t="s">
        <v>881</v>
      </c>
    </row>
    <row r="7926" spans="1:4" ht="30">
      <c r="A7926" s="5" t="str">
        <f>HYPERLINK("https://www.oit.va.gov/Services/TRM/ToolPage.aspx?tid=15631^","Trellix Endpoint Detection and Response (EDR)")</f>
        <v>Trellix Endpoint Detection and Response (EDR)</v>
      </c>
      <c r="B7926" s="4" t="s">
        <v>156</v>
      </c>
      <c r="C7926" s="8" t="s">
        <v>5</v>
      </c>
      <c r="D7926" s="11" t="s">
        <v>2593</v>
      </c>
    </row>
    <row r="7927" spans="1:4" ht="30">
      <c r="A7927" s="5" t="str">
        <f>HYPERLINK("https://www.oit.va.gov/Services/TRM/ToolPage.aspx?tid=15958^","GetClean")</f>
        <v>GetClean</v>
      </c>
      <c r="B7927" s="4" t="s">
        <v>156</v>
      </c>
      <c r="C7927" s="8" t="s">
        <v>5</v>
      </c>
      <c r="D7927" s="11" t="s">
        <v>5824</v>
      </c>
    </row>
    <row r="7928" spans="1:4" ht="30">
      <c r="A7928" s="5" t="str">
        <f>HYPERLINK("https://www.oit.va.gov/Services/TRM/ToolPage.aspx?tid=16085^","Trellix Health Watch Tool")</f>
        <v>Trellix Health Watch Tool</v>
      </c>
      <c r="B7928" s="4" t="s">
        <v>156</v>
      </c>
      <c r="C7928" s="8" t="s">
        <v>5</v>
      </c>
      <c r="D7928" s="11" t="s">
        <v>6118</v>
      </c>
    </row>
    <row r="7929" spans="1:4" ht="30">
      <c r="A7929" s="5" t="str">
        <f>HYPERLINK("https://www.oit.va.gov/Services/TRM/ToolPage.aspx?tid=7441^","Application Control (Solidifier)")</f>
        <v>Application Control (Solidifier)</v>
      </c>
      <c r="B7929" s="4" t="s">
        <v>2379</v>
      </c>
      <c r="C7929" s="8" t="s">
        <v>5</v>
      </c>
      <c r="D7929" s="11" t="s">
        <v>2380</v>
      </c>
    </row>
    <row r="7930" spans="1:4" ht="30">
      <c r="A7930" s="5" t="str">
        <f>HYPERLINK("https://www.oit.va.gov/Services/TRM/ToolPage.aspx?tid=13627^","Installation Designer")</f>
        <v>Installation Designer</v>
      </c>
      <c r="B7930" s="4" t="s">
        <v>2379</v>
      </c>
      <c r="C7930" s="8" t="s">
        <v>5</v>
      </c>
      <c r="D7930" s="11" t="s">
        <v>90</v>
      </c>
    </row>
    <row r="7931" spans="1:4" ht="30">
      <c r="A7931" s="5" t="str">
        <f>HYPERLINK("https://www.oit.va.gov/Services/TRM/ToolPage.aspx?tid=13075^","Cool Web Shredder (CWShredder)")</f>
        <v>Cool Web Shredder (CWShredder)</v>
      </c>
      <c r="B7931" s="4" t="s">
        <v>7702</v>
      </c>
      <c r="C7931" s="8" t="s">
        <v>5</v>
      </c>
      <c r="D7931" s="11" t="s">
        <v>7703</v>
      </c>
    </row>
    <row r="7932" spans="1:4" ht="30">
      <c r="A7932" s="5" t="str">
        <f>HYPERLINK("https://www.oit.va.gov/Services/TRM/ToolPage.aspx?tid=5992^","HijackThis")</f>
        <v>HijackThis</v>
      </c>
      <c r="B7932" s="4" t="s">
        <v>7702</v>
      </c>
      <c r="C7932" s="8" t="s">
        <v>5</v>
      </c>
      <c r="D7932" s="11" t="s">
        <v>8029</v>
      </c>
    </row>
    <row r="7933" spans="1:4" ht="30">
      <c r="A7933" s="5" t="str">
        <f>HYPERLINK("https://www.oit.va.gov/Services/TRM/ToolPage.aspx?tid=9006^","TRENDnet View Pro")</f>
        <v>TRENDnet View Pro</v>
      </c>
      <c r="B7933" s="4" t="s">
        <v>7248</v>
      </c>
      <c r="C7933" s="8" t="s">
        <v>5</v>
      </c>
      <c r="D7933" s="11" t="s">
        <v>7249</v>
      </c>
    </row>
    <row r="7934" spans="1:4" ht="30">
      <c r="A7934" s="5" t="str">
        <f>HYPERLINK("https://www.oit.va.gov/Services/TRM/ToolPage.aspx?tid=13205^","Simple Storage Service (S3) Express")</f>
        <v>Simple Storage Service (S3) Express</v>
      </c>
      <c r="B7934" s="4" t="s">
        <v>8659</v>
      </c>
      <c r="C7934" s="8" t="s">
        <v>5</v>
      </c>
      <c r="D7934" s="11" t="s">
        <v>8660</v>
      </c>
    </row>
    <row r="7935" spans="1:4" ht="30">
      <c r="A7935" s="5" t="str">
        <f>HYPERLINK("https://www.oit.va.gov/Services/TRM/ToolPage.aspx?tid=16360^","Tricentis Test Automation (TTA) Pro")</f>
        <v>Tricentis Test Automation (TTA) Pro</v>
      </c>
      <c r="B7935" s="4" t="s">
        <v>2003</v>
      </c>
      <c r="C7935" s="8" t="s">
        <v>5</v>
      </c>
      <c r="D7935" s="11" t="s">
        <v>2004</v>
      </c>
    </row>
    <row r="7936" spans="1:4" ht="30">
      <c r="A7936" s="5" t="str">
        <f>HYPERLINK("https://www.oit.va.gov/Services/TRM/ToolPage.aspx?tid=15064^","Tricentis Tosca")</f>
        <v>Tricentis Tosca</v>
      </c>
      <c r="B7936" s="4" t="s">
        <v>2003</v>
      </c>
      <c r="C7936" s="8" t="s">
        <v>5</v>
      </c>
      <c r="D7936" s="11" t="s">
        <v>2700</v>
      </c>
    </row>
    <row r="7937" spans="1:4" ht="30">
      <c r="A7937" s="5" t="str">
        <f>HYPERLINK("https://www.oit.va.gov/Services/TRM/ToolPage.aspx?tid=6131^","ScrewDrivers")</f>
        <v>ScrewDrivers</v>
      </c>
      <c r="B7937" s="4" t="s">
        <v>7113</v>
      </c>
      <c r="C7937" s="8" t="s">
        <v>5</v>
      </c>
      <c r="D7937" s="11" t="s">
        <v>1891</v>
      </c>
    </row>
    <row r="7938" spans="1:4" ht="30">
      <c r="A7938" s="5" t="str">
        <f>HYPERLINK("https://www.oit.va.gov/Services/TRM/ToolPage.aspx?tid=15627^","FEMSNIFR Utiltity")</f>
        <v>FEMSNIFR Utiltity</v>
      </c>
      <c r="B7938" s="4" t="s">
        <v>4126</v>
      </c>
      <c r="C7938" s="8" t="s">
        <v>5</v>
      </c>
      <c r="D7938" s="11" t="s">
        <v>4127</v>
      </c>
    </row>
    <row r="7939" spans="1:4" ht="30">
      <c r="A7939" s="5" t="str">
        <f>HYPERLINK("https://www.oit.va.gov/Services/TRM/ToolPage.aspx?tid=10741^","z/Operating System Environment Manager (z/OSEM)")</f>
        <v>z/Operating System Environment Manager (z/OSEM)</v>
      </c>
      <c r="B7939" s="4" t="s">
        <v>4126</v>
      </c>
      <c r="C7939" s="8" t="s">
        <v>5</v>
      </c>
      <c r="D7939" s="11" t="s">
        <v>5541</v>
      </c>
    </row>
    <row r="7940" spans="1:4" ht="30">
      <c r="A7940" s="5" t="str">
        <f>HYPERLINK("https://www.oit.va.gov/Services/TRM/ToolPage.aspx?tid=13065^","Niagara 4")</f>
        <v>Niagara 4</v>
      </c>
      <c r="B7940" s="4" t="s">
        <v>4498</v>
      </c>
      <c r="C7940" s="8" t="s">
        <v>5</v>
      </c>
      <c r="D7940" s="11" t="s">
        <v>4499</v>
      </c>
    </row>
    <row r="7941" spans="1:4" ht="30">
      <c r="A7941" s="5" t="str">
        <f>HYPERLINK("https://www.oit.va.gov/Services/TRM/ToolPage.aspx?tid=14241^","Niagara Supervisor")</f>
        <v>Niagara Supervisor</v>
      </c>
      <c r="B7941" s="4" t="s">
        <v>4498</v>
      </c>
      <c r="C7941" s="8" t="s">
        <v>5</v>
      </c>
      <c r="D7941" s="11" t="s">
        <v>3672</v>
      </c>
    </row>
    <row r="7942" spans="1:4" ht="30">
      <c r="A7942" s="5" t="str">
        <f>HYPERLINK("https://www.oit.va.gov/Services/TRM/ToolPage.aspx?tid=8980^","ShowCase")</f>
        <v>ShowCase</v>
      </c>
      <c r="B7942" s="4" t="s">
        <v>112</v>
      </c>
      <c r="C7942" s="8" t="s">
        <v>5</v>
      </c>
      <c r="D7942" s="11" t="s">
        <v>113</v>
      </c>
    </row>
    <row r="7943" spans="1:4" ht="30">
      <c r="A7943" s="5" t="str">
        <f>HYPERLINK("https://www.oit.va.gov/Services/TRM/ToolPage.aspx?tid=15865^","NestJS")</f>
        <v>NestJS</v>
      </c>
      <c r="B7943" s="4" t="s">
        <v>6915</v>
      </c>
      <c r="C7943" s="8" t="s">
        <v>5</v>
      </c>
      <c r="D7943" s="11" t="s">
        <v>6916</v>
      </c>
    </row>
    <row r="7944" spans="1:4" ht="30">
      <c r="A7944" s="5" t="str">
        <f>HYPERLINK("https://www.oit.va.gov/Services/TRM/ToolPage.aspx?tid=5986^","SketchUp")</f>
        <v>SketchUp</v>
      </c>
      <c r="B7944" s="4" t="s">
        <v>4795</v>
      </c>
      <c r="C7944" s="8" t="s">
        <v>5</v>
      </c>
      <c r="D7944" s="11" t="s">
        <v>4796</v>
      </c>
    </row>
    <row r="7945" spans="1:4" ht="30">
      <c r="A7945" s="5" t="str">
        <f>HYPERLINK("https://www.oit.va.gov/Services/TRM/ToolPage.aspx?tid=14619^","WinEst")</f>
        <v>WinEst</v>
      </c>
      <c r="B7945" s="4" t="s">
        <v>4795</v>
      </c>
      <c r="C7945" s="8" t="s">
        <v>5</v>
      </c>
      <c r="D7945" s="11" t="s">
        <v>901</v>
      </c>
    </row>
    <row r="7946" spans="1:4" ht="30">
      <c r="A7946" s="5" t="str">
        <f>HYPERLINK("https://www.oit.va.gov/Services/TRM/ToolPage.aspx?tid=8400^","Pathfinder Office Software")</f>
        <v>Pathfinder Office Software</v>
      </c>
      <c r="B7946" s="4" t="s">
        <v>4795</v>
      </c>
      <c r="C7946" s="8" t="s">
        <v>5</v>
      </c>
      <c r="D7946" s="11" t="s">
        <v>5415</v>
      </c>
    </row>
    <row r="7947" spans="1:4" ht="30">
      <c r="A7947" s="5" t="str">
        <f>HYPERLINK("https://www.oit.va.gov/Services/TRM/ToolPage.aspx?tid=9738^","Tekla BIMsight")</f>
        <v>Tekla BIMsight</v>
      </c>
      <c r="B7947" s="4" t="s">
        <v>4795</v>
      </c>
      <c r="C7947" s="8" t="s">
        <v>5</v>
      </c>
      <c r="D7947" s="11" t="s">
        <v>6438</v>
      </c>
    </row>
    <row r="7948" spans="1:4" ht="30">
      <c r="A7948" s="5" t="str">
        <f>HYPERLINK("https://www.oit.va.gov/Services/TRM/ToolPage.aspx?tid=10040^","Trimble Global Positioning System (GPS) Configurator")</f>
        <v>Trimble Global Positioning System (GPS) Configurator</v>
      </c>
      <c r="B7948" s="4" t="s">
        <v>4795</v>
      </c>
      <c r="C7948" s="8" t="s">
        <v>5</v>
      </c>
      <c r="D7948" s="11" t="s">
        <v>8830</v>
      </c>
    </row>
    <row r="7949" spans="1:4" ht="30">
      <c r="A7949" s="5" t="str">
        <f>HYPERLINK("https://www.oit.va.gov/Services/TRM/ToolPage.aspx?tid=13721^","Trimble TerraFlex Field Application")</f>
        <v>Trimble TerraFlex Field Application</v>
      </c>
      <c r="B7949" s="4" t="s">
        <v>4795</v>
      </c>
      <c r="C7949" s="8" t="s">
        <v>5</v>
      </c>
      <c r="D7949" s="11" t="s">
        <v>5337</v>
      </c>
    </row>
    <row r="7950" spans="1:4" ht="30">
      <c r="A7950" s="5" t="str">
        <f>HYPERLINK("https://www.oit.va.gov/Services/TRM/ToolPage.aspx?tid=12864^","TriNetX Live")</f>
        <v>TriNetX Live</v>
      </c>
      <c r="B7950" s="4" t="s">
        <v>8831</v>
      </c>
      <c r="C7950" s="8" t="s">
        <v>5</v>
      </c>
      <c r="D7950" s="11" t="s">
        <v>3517</v>
      </c>
    </row>
    <row r="7951" spans="1:4" ht="30">
      <c r="A7951" s="5" t="str">
        <f>HYPERLINK("https://www.oit.va.gov/Services/TRM/ToolPage.aspx?tid=7671^","FISERV CheckFree FUND Xpedite Frontier")</f>
        <v>FISERV CheckFree FUND Xpedite Frontier</v>
      </c>
      <c r="B7951" s="4" t="s">
        <v>5813</v>
      </c>
      <c r="C7951" s="8" t="s">
        <v>5</v>
      </c>
      <c r="D7951" s="11" t="s">
        <v>4377</v>
      </c>
    </row>
    <row r="7952" spans="1:4" ht="30">
      <c r="A7952" s="5" t="str">
        <f>HYPERLINK("https://www.oit.va.gov/Services/TRM/ToolPage.aspx?tid=15871^","Tripleplay Media Video Player (MVP)")</f>
        <v>Tripleplay Media Video Player (MVP)</v>
      </c>
      <c r="B7952" s="4" t="s">
        <v>4933</v>
      </c>
      <c r="C7952" s="8" t="s">
        <v>5</v>
      </c>
      <c r="D7952" s="11" t="s">
        <v>2968</v>
      </c>
    </row>
    <row r="7953" spans="1:4" ht="30">
      <c r="A7953" s="5" t="str">
        <f>HYPERLINK("https://www.oit.va.gov/Services/TRM/ToolPage.aspx?tid=15626^","PowerAlert Element Manager (PAEM)")</f>
        <v>PowerAlert Element Manager (PAEM)</v>
      </c>
      <c r="B7953" s="4" t="s">
        <v>1851</v>
      </c>
      <c r="C7953" s="8" t="s">
        <v>5</v>
      </c>
      <c r="D7953" s="11" t="s">
        <v>1852</v>
      </c>
    </row>
    <row r="7954" spans="1:4" ht="30">
      <c r="A7954" s="5" t="str">
        <f>HYPERLINK("https://www.oit.va.gov/Services/TRM/ToolPage.aspx?tid=15633^","PowerAlert Network Management System (PANMS)")</f>
        <v>PowerAlert Network Management System (PANMS)</v>
      </c>
      <c r="B7954" s="4" t="s">
        <v>1851</v>
      </c>
      <c r="C7954" s="8" t="s">
        <v>5</v>
      </c>
      <c r="D7954" s="11" t="s">
        <v>4631</v>
      </c>
    </row>
    <row r="7955" spans="1:4" ht="30">
      <c r="A7955" s="5" t="str">
        <f>HYPERLINK("https://www.oit.va.gov/Services/TRM/ToolPage.aspx?tid=5739^","PowerAlert Local")</f>
        <v>PowerAlert Local</v>
      </c>
      <c r="B7955" s="4" t="s">
        <v>1851</v>
      </c>
      <c r="C7955" s="8" t="s">
        <v>5</v>
      </c>
      <c r="D7955" s="11" t="s">
        <v>6005</v>
      </c>
    </row>
    <row r="7956" spans="1:4" ht="30">
      <c r="A7956" s="5" t="str">
        <f>HYPERLINK("https://www.oit.va.gov/Services/TRM/ToolPage.aspx?tid=15634^","PowerAlert Network Shutdown Agent")</f>
        <v>PowerAlert Network Shutdown Agent</v>
      </c>
      <c r="B7956" s="4" t="s">
        <v>1851</v>
      </c>
      <c r="C7956" s="8" t="s">
        <v>5</v>
      </c>
      <c r="D7956" s="11" t="s">
        <v>7021</v>
      </c>
    </row>
    <row r="7957" spans="1:4" ht="30">
      <c r="A7957" s="5" t="str">
        <f>HYPERLINK("https://www.oit.va.gov/Services/TRM/ToolPage.aspx?tid=6741^","Tripwire Enterprise")</f>
        <v>Tripwire Enterprise</v>
      </c>
      <c r="B7957" s="4" t="s">
        <v>3583</v>
      </c>
      <c r="C7957" s="8" t="s">
        <v>5</v>
      </c>
      <c r="D7957" s="11" t="s">
        <v>3584</v>
      </c>
    </row>
    <row r="7958" spans="1:4" ht="30">
      <c r="A7958" s="5" t="str">
        <f>HYPERLINK("https://www.oit.va.gov/Services/TRM/ToolPage.aspx?tid=15472^","Tapit 6 Call Accounting for Small &amp; Medium Businesses (SMB) &amp; Enterprise")</f>
        <v>Tapit 6 Call Accounting for Small &amp; Medium Businesses (SMB) &amp; Enterprise</v>
      </c>
      <c r="B7958" s="4" t="s">
        <v>1111</v>
      </c>
      <c r="C7958" s="8" t="s">
        <v>5</v>
      </c>
      <c r="D7958" s="11" t="s">
        <v>1112</v>
      </c>
    </row>
    <row r="7959" spans="1:4" ht="30">
      <c r="A7959" s="5" t="str">
        <f>HYPERLINK("https://www.oit.va.gov/Services/TRM/ToolPage.aspx?tid=8358^","Tapit NOVA")</f>
        <v>Tapit NOVA</v>
      </c>
      <c r="B7959" s="4" t="s">
        <v>1111</v>
      </c>
      <c r="C7959" s="8" t="s">
        <v>5</v>
      </c>
      <c r="D7959" s="11" t="s">
        <v>405</v>
      </c>
    </row>
    <row r="7960" spans="1:4" ht="30">
      <c r="A7960" s="5" t="str">
        <f>HYPERLINK("https://www.oit.va.gov/Services/TRM/ToolPage.aspx?tid=7703^","Lectora Inspire")</f>
        <v>Lectora Inspire</v>
      </c>
      <c r="B7960" s="4" t="s">
        <v>93</v>
      </c>
      <c r="C7960" s="8" t="s">
        <v>5</v>
      </c>
      <c r="D7960" s="11" t="s">
        <v>94</v>
      </c>
    </row>
    <row r="7961" spans="1:4" ht="30">
      <c r="A7961" s="5" t="str">
        <f>HYPERLINK("https://www.oit.va.gov/Services/TRM/ToolPage.aspx?tid=7350^","TRUEmanager PRO")</f>
        <v>TRUEmanager PRO</v>
      </c>
      <c r="B7961" s="4" t="s">
        <v>3037</v>
      </c>
      <c r="C7961" s="8" t="s">
        <v>5</v>
      </c>
      <c r="D7961" s="11" t="s">
        <v>2272</v>
      </c>
    </row>
    <row r="7962" spans="1:4" ht="30">
      <c r="A7962" s="5" t="str">
        <f>HYPERLINK("https://www.oit.va.gov/Services/TRM/ToolPage.aspx?tid=10895^","TrackRecord Data Management Software")</f>
        <v>TrackRecord Data Management Software</v>
      </c>
      <c r="B7962" s="4" t="s">
        <v>3037</v>
      </c>
      <c r="C7962" s="8" t="s">
        <v>5</v>
      </c>
      <c r="D7962" s="11" t="s">
        <v>7239</v>
      </c>
    </row>
    <row r="7963" spans="1:4" ht="30">
      <c r="A7963" s="5" t="str">
        <f>HYPERLINK("https://www.oit.va.gov/Services/TRM/ToolPage.aspx?tid=7338^","iDashboards Enterprise Reporting")</f>
        <v>iDashboards Enterprise Reporting</v>
      </c>
      <c r="B7963" s="4" t="s">
        <v>2140</v>
      </c>
      <c r="C7963" s="8" t="s">
        <v>5</v>
      </c>
      <c r="D7963" s="11" t="s">
        <v>2141</v>
      </c>
    </row>
    <row r="7964" spans="1:4" ht="30">
      <c r="A7964" s="5" t="str">
        <f>HYPERLINK("https://www.oit.va.gov/Services/TRM/ToolPage.aspx?tid=6036^","Trustwave Authenticator")</f>
        <v>Trustwave Authenticator</v>
      </c>
      <c r="B7964" s="4" t="s">
        <v>4936</v>
      </c>
      <c r="C7964" s="8" t="s">
        <v>5</v>
      </c>
      <c r="D7964" s="11" t="s">
        <v>1084</v>
      </c>
    </row>
    <row r="7965" spans="1:4" ht="30">
      <c r="A7965" s="5" t="str">
        <f>HYPERLINK("https://www.oit.va.gov/Services/TRM/ToolPage.aspx?tid=8190^","Trustwave Web Filter")</f>
        <v>Trustwave Web Filter</v>
      </c>
      <c r="B7965" s="4" t="s">
        <v>4936</v>
      </c>
      <c r="C7965" s="8" t="s">
        <v>5</v>
      </c>
      <c r="D7965" s="11" t="s">
        <v>7223</v>
      </c>
    </row>
    <row r="7966" spans="1:4" ht="30">
      <c r="A7966" s="5" t="str">
        <f>HYPERLINK("https://www.oit.va.gov/Services/TRM/ToolPage.aspx?tid=13732^","Radiotherapy Incident Reporting and Analysis System (RIRAS)")</f>
        <v>Radiotherapy Incident Reporting and Analysis System (RIRAS)</v>
      </c>
      <c r="B7966" s="4" t="s">
        <v>6024</v>
      </c>
      <c r="C7966" s="8" t="s">
        <v>5</v>
      </c>
      <c r="D7966" s="11" t="s">
        <v>4658</v>
      </c>
    </row>
    <row r="7967" spans="1:4" ht="30">
      <c r="A7967" s="5" t="str">
        <f>HYPERLINK("https://www.oit.va.gov/Services/TRM/ToolPage.aspx?tid=16848^","TrakPro Data Ultra Analysis Software")</f>
        <v>TrakPro Data Ultra Analysis Software</v>
      </c>
      <c r="B7967" s="4" t="s">
        <v>473</v>
      </c>
      <c r="C7967" s="8" t="s">
        <v>5</v>
      </c>
      <c r="D7967" s="11" t="s">
        <v>474</v>
      </c>
    </row>
    <row r="7968" spans="1:4" ht="30">
      <c r="A7968" s="5" t="str">
        <f>HYPERLINK("https://www.oit.va.gov/Services/TRM/ToolPage.aspx?tid=7800^","TrakPro Lite Secure Software")</f>
        <v>TrakPro Lite Secure Software</v>
      </c>
      <c r="B7968" s="4" t="s">
        <v>473</v>
      </c>
      <c r="C7968" s="8" t="s">
        <v>5</v>
      </c>
      <c r="D7968" s="11" t="s">
        <v>475</v>
      </c>
    </row>
    <row r="7969" spans="1:4" ht="30">
      <c r="A7969" s="5" t="str">
        <f>HYPERLINK("https://www.oit.va.gov/Services/TRM/ToolPage.aspx?tid=15156^","FitPro Ultra Fit Test Software")</f>
        <v>FitPro Ultra Fit Test Software</v>
      </c>
      <c r="B7969" s="4" t="s">
        <v>473</v>
      </c>
      <c r="C7969" s="8" t="s">
        <v>5</v>
      </c>
      <c r="D7969" s="11" t="s">
        <v>997</v>
      </c>
    </row>
    <row r="7970" spans="1:4" ht="30">
      <c r="A7970" s="5" t="str">
        <f>HYPERLINK("https://www.oit.va.gov/Services/TRM/ToolPage.aspx?tid=9469^","TrakPro Data Analysis Software")</f>
        <v>TrakPro Data Analysis Software</v>
      </c>
      <c r="B7970" s="4" t="s">
        <v>473</v>
      </c>
      <c r="C7970" s="8" t="s">
        <v>5</v>
      </c>
      <c r="D7970" s="11" t="s">
        <v>2328</v>
      </c>
    </row>
    <row r="7971" spans="1:4" ht="30">
      <c r="A7971" s="5" t="str">
        <f>HYPERLINK("https://www.oit.va.gov/Services/TRM/ToolPage.aspx?tid=7400^","TSI Quest Detection Management Software (DMS)")</f>
        <v>TSI Quest Detection Management Software (DMS)</v>
      </c>
      <c r="B7971" s="4" t="s">
        <v>473</v>
      </c>
      <c r="C7971" s="8" t="s">
        <v>5</v>
      </c>
      <c r="D7971" s="11" t="s">
        <v>2329</v>
      </c>
    </row>
    <row r="7972" spans="1:4" ht="30">
      <c r="A7972" s="5" t="str">
        <f>HYPERLINK("https://www.oit.va.gov/Services/TRM/ToolPage.aspx?tid=7808^","FitPro+ Fit Test Software")</f>
        <v>FitPro+ Fit Test Software</v>
      </c>
      <c r="B7972" s="4" t="s">
        <v>473</v>
      </c>
      <c r="C7972" s="8" t="s">
        <v>5</v>
      </c>
      <c r="D7972" s="11" t="s">
        <v>3300</v>
      </c>
    </row>
    <row r="7973" spans="1:4" ht="30">
      <c r="A7973" s="5" t="str">
        <f>HYPERLINK("https://www.oit.va.gov/Services/TRM/ToolPage.aspx?tid=8587^","LogDat2 Software")</f>
        <v>LogDat2 Software</v>
      </c>
      <c r="B7973" s="4" t="s">
        <v>473</v>
      </c>
      <c r="C7973" s="8" t="s">
        <v>5</v>
      </c>
      <c r="D7973" s="11" t="s">
        <v>3366</v>
      </c>
    </row>
    <row r="7974" spans="1:4" ht="30">
      <c r="A7974" s="5" t="str">
        <f>HYPERLINK("https://www.oit.va.gov/Services/TRM/ToolPage.aspx?tid=13155^","Terminal Service (TS) Plus")</f>
        <v>Terminal Service (TS) Plus</v>
      </c>
      <c r="B7974" s="4" t="s">
        <v>7220</v>
      </c>
      <c r="C7974" s="8" t="s">
        <v>5</v>
      </c>
      <c r="D7974" s="11" t="s">
        <v>7221</v>
      </c>
    </row>
    <row r="7975" spans="1:4" ht="30">
      <c r="A7975" s="5" t="str">
        <f>HYPERLINK("https://www.oit.va.gov/Services/TRM/ToolPage.aspx?tid=8654^","icRoute")</f>
        <v>icRoute</v>
      </c>
      <c r="B7975" s="4" t="s">
        <v>5241</v>
      </c>
      <c r="C7975" s="8" t="s">
        <v>5</v>
      </c>
      <c r="D7975" s="11" t="s">
        <v>2121</v>
      </c>
    </row>
    <row r="7976" spans="1:4" ht="30">
      <c r="A7976" s="5" t="str">
        <f>HYPERLINK("https://www.oit.va.gov/Services/TRM/ToolPage.aspx?tid=6169^","Tungsten Virtual ReScan (VRS) Elite")</f>
        <v>Tungsten Virtual ReScan (VRS) Elite</v>
      </c>
      <c r="B7976" s="4" t="s">
        <v>882</v>
      </c>
      <c r="C7976" s="8" t="s">
        <v>5</v>
      </c>
      <c r="D7976" s="11" t="s">
        <v>883</v>
      </c>
    </row>
    <row r="7977" spans="1:4" ht="30">
      <c r="A7977" s="5" t="str">
        <f>HYPERLINK("https://www.oit.va.gov/Services/TRM/ToolPage.aspx?tid=7673^","Output Manager")</f>
        <v>Output Manager</v>
      </c>
      <c r="B7977" s="4" t="s">
        <v>882</v>
      </c>
      <c r="C7977" s="8" t="s">
        <v>5</v>
      </c>
      <c r="D7977" s="11" t="s">
        <v>1822</v>
      </c>
    </row>
    <row r="7978" spans="1:4" ht="30">
      <c r="A7978" s="5" t="str">
        <f>HYPERLINK("https://www.oit.va.gov/Services/TRM/ToolPage.aspx?tid=5679^","Tungsten Automation Power PDF")</f>
        <v>Tungsten Automation Power PDF</v>
      </c>
      <c r="B7978" s="4" t="s">
        <v>882</v>
      </c>
      <c r="C7978" s="8" t="s">
        <v>5</v>
      </c>
      <c r="D7978" s="11" t="s">
        <v>288</v>
      </c>
    </row>
    <row r="7979" spans="1:4" ht="30">
      <c r="A7979" s="5" t="str">
        <f>HYPERLINK("https://www.oit.va.gov/Services/TRM/ToolPage.aspx?tid=11472^","Kofax Communications Manager")</f>
        <v>Kofax Communications Manager</v>
      </c>
      <c r="B7979" s="4" t="s">
        <v>882</v>
      </c>
      <c r="C7979" s="8" t="s">
        <v>5</v>
      </c>
      <c r="D7979" s="11" t="s">
        <v>718</v>
      </c>
    </row>
    <row r="7980" spans="1:4" ht="30">
      <c r="A7980" s="5" t="str">
        <f>HYPERLINK("https://www.oit.va.gov/Services/TRM/ToolPage.aspx?tid=8177^","OmniPage Capture Software Development Kit (CSDK)")</f>
        <v>OmniPage Capture Software Development Kit (CSDK)</v>
      </c>
      <c r="B7980" s="4" t="s">
        <v>882</v>
      </c>
      <c r="C7980" s="8" t="s">
        <v>5</v>
      </c>
      <c r="D7980" s="11" t="s">
        <v>4538</v>
      </c>
    </row>
    <row r="7981" spans="1:4" ht="30">
      <c r="A7981" s="5" t="str">
        <f>HYPERLINK("https://www.oit.va.gov/Services/TRM/ToolPage.aspx?tid=14920^","Kofax Import Connector")</f>
        <v>Kofax Import Connector</v>
      </c>
      <c r="B7981" s="4" t="s">
        <v>882</v>
      </c>
      <c r="C7981" s="8" t="s">
        <v>5</v>
      </c>
      <c r="D7981" s="11" t="s">
        <v>2026</v>
      </c>
    </row>
    <row r="7982" spans="1:4" ht="30">
      <c r="A7982" s="5" t="str">
        <f>HYPERLINK("https://www.oit.va.gov/Services/TRM/ToolPage.aspx?tid=10064^","Turbo Client")</f>
        <v>Turbo Client</v>
      </c>
      <c r="B7982" s="4" t="s">
        <v>1214</v>
      </c>
      <c r="C7982" s="8" t="s">
        <v>5</v>
      </c>
      <c r="D7982" s="11" t="s">
        <v>1215</v>
      </c>
    </row>
    <row r="7983" spans="1:4" ht="30">
      <c r="A7983" s="5" t="str">
        <f>HYPERLINK("https://www.oit.va.gov/Services/TRM/ToolPage.aspx?tid=9161^","Turbo Studio")</f>
        <v>Turbo Studio</v>
      </c>
      <c r="B7983" s="4" t="s">
        <v>1214</v>
      </c>
      <c r="C7983" s="8" t="s">
        <v>5</v>
      </c>
      <c r="D7983" s="11" t="s">
        <v>1215</v>
      </c>
    </row>
    <row r="7984" spans="1:4" ht="30">
      <c r="A7984" s="5" t="str">
        <f>HYPERLINK("https://www.oit.va.gov/Services/TRM/ToolPage.aspx?tid=7950^","TurboServer")</f>
        <v>TurboServer</v>
      </c>
      <c r="B7984" s="4" t="s">
        <v>1214</v>
      </c>
      <c r="C7984" s="8" t="s">
        <v>5</v>
      </c>
      <c r="D7984" s="11" t="s">
        <v>3585</v>
      </c>
    </row>
    <row r="7985" spans="1:4" ht="30">
      <c r="A7985" s="5" t="str">
        <f>HYPERLINK("https://www.oit.va.gov/Services/TRM/ToolPage.aspx?tid=15082^","TurboCAD (Computer-Aided Design)")</f>
        <v>TurboCAD (Computer-Aided Design)</v>
      </c>
      <c r="B7985" s="4" t="s">
        <v>7254</v>
      </c>
      <c r="C7985" s="8" t="s">
        <v>5</v>
      </c>
      <c r="D7985" s="11" t="s">
        <v>7255</v>
      </c>
    </row>
    <row r="7986" spans="1:4" ht="30">
      <c r="A7986" s="5" t="str">
        <f>HYPERLINK("https://www.oit.va.gov/Services/TRM/ToolPage.aspx?tid=16792^","Turbot Guardrails")</f>
        <v>Turbot Guardrails</v>
      </c>
      <c r="B7986" s="4" t="s">
        <v>4938</v>
      </c>
      <c r="C7986" s="8" t="s">
        <v>5</v>
      </c>
      <c r="D7986" s="11" t="s">
        <v>1558</v>
      </c>
    </row>
    <row r="7987" spans="1:4" ht="30">
      <c r="A7987" s="5" t="str">
        <f>HYPERLINK("https://www.oit.va.gov/Services/TRM/ToolPage.aspx?tid=15630^","Turner Scientific Sensory Sentinel")</f>
        <v>Turner Scientific Sensory Sentinel</v>
      </c>
      <c r="B7987" s="4" t="s">
        <v>6122</v>
      </c>
      <c r="C7987" s="8" t="s">
        <v>5</v>
      </c>
      <c r="D7987" s="11" t="s">
        <v>6123</v>
      </c>
    </row>
    <row r="7988" spans="1:4" ht="30">
      <c r="A7988" s="5" t="str">
        <f>HYPERLINK("https://www.oit.va.gov/Services/TRM/ToolPage.aspx?tid=11809^","Enterprise 7000 Paging System")</f>
        <v>Enterprise 7000 Paging System</v>
      </c>
      <c r="B7988" s="4" t="s">
        <v>7865</v>
      </c>
      <c r="C7988" s="8" t="s">
        <v>5</v>
      </c>
      <c r="D7988" s="11" t="s">
        <v>7386</v>
      </c>
    </row>
    <row r="7989" spans="1:4" ht="30">
      <c r="A7989" s="5" t="str">
        <f>HYPERLINK("https://www.oit.va.gov/Services/TRM/ToolPage.aspx?tid=5106^","TWiki")</f>
        <v>TWiki</v>
      </c>
      <c r="B7989" s="4" t="s">
        <v>2330</v>
      </c>
      <c r="C7989" s="8" t="s">
        <v>5</v>
      </c>
      <c r="D7989" s="11" t="s">
        <v>2331</v>
      </c>
    </row>
    <row r="7990" spans="1:4" ht="30">
      <c r="A7990" s="5" t="str">
        <f>HYPERLINK("https://www.oit.va.gov/Services/TRM/ToolPage.aspx?tid=15392^","TView")</f>
        <v>TView</v>
      </c>
      <c r="B7990" s="4" t="s">
        <v>6124</v>
      </c>
      <c r="C7990" s="8" t="s">
        <v>5</v>
      </c>
      <c r="D7990" s="11" t="s">
        <v>2426</v>
      </c>
    </row>
    <row r="7991" spans="1:4" ht="30">
      <c r="A7991" s="5" t="str">
        <f>HYPERLINK("https://www.oit.va.gov/Services/TRM/ToolPage.aspx?tid=9073^","Odyssey Case Manager")</f>
        <v>Odyssey Case Manager</v>
      </c>
      <c r="B7991" s="4" t="s">
        <v>2815</v>
      </c>
      <c r="C7991" s="8" t="s">
        <v>5</v>
      </c>
      <c r="D7991" s="11" t="s">
        <v>2816</v>
      </c>
    </row>
    <row r="7992" spans="1:4" ht="30">
      <c r="A7992" s="5" t="str">
        <f>HYPERLINK("https://www.oit.va.gov/Services/TRM/ToolPage.aspx?tid=6959^","Tyler Application Platform (TAP)")</f>
        <v>Tyler Application Platform (TAP)</v>
      </c>
      <c r="B7992" s="4" t="s">
        <v>2815</v>
      </c>
      <c r="C7992" s="8" t="s">
        <v>5</v>
      </c>
      <c r="D7992" s="11" t="s">
        <v>3041</v>
      </c>
    </row>
    <row r="7993" spans="1:4" ht="30">
      <c r="A7993" s="5" t="str">
        <f>HYPERLINK("https://www.oit.va.gov/Services/TRM/ToolPage.aspx?tid=11563^","TypeDoc")</f>
        <v>TypeDoc</v>
      </c>
      <c r="B7993" s="4" t="s">
        <v>7259</v>
      </c>
      <c r="C7993" s="8" t="s">
        <v>5</v>
      </c>
      <c r="D7993" s="11" t="s">
        <v>883</v>
      </c>
    </row>
    <row r="7994" spans="1:4" ht="30">
      <c r="A7994" s="5" t="str">
        <f>HYPERLINK("https://www.oit.va.gov/Services/TRM/ToolPage.aspx?tid=7066^","Qbase Data Discovery (QDD)")</f>
        <v>Qbase Data Discovery (QDD)</v>
      </c>
      <c r="B7994" s="4" t="s">
        <v>8506</v>
      </c>
      <c r="C7994" s="8" t="s">
        <v>5</v>
      </c>
      <c r="D7994" s="11" t="s">
        <v>2816</v>
      </c>
    </row>
    <row r="7995" spans="1:4" ht="30">
      <c r="A7995" s="5" t="str">
        <f>HYPERLINK("https://www.oit.va.gov/Services/TRM/ToolPage.aspx?tid=11298^","Tzunami Deployer")</f>
        <v>Tzunami Deployer</v>
      </c>
      <c r="B7995" s="4" t="s">
        <v>541</v>
      </c>
      <c r="C7995" s="8" t="s">
        <v>5</v>
      </c>
      <c r="D7995" s="11" t="s">
        <v>542</v>
      </c>
    </row>
    <row r="7996" spans="1:4" ht="30">
      <c r="A7996" s="5" t="str">
        <f>HYPERLINK("https://www.oit.va.gov/Services/TRM/StandardPage.aspx?tid=7406^","Section 508 Standards for Information and Communications Technology")</f>
        <v>Section 508 Standards for Information and Communications Technology</v>
      </c>
      <c r="B7996" s="4" t="s">
        <v>319</v>
      </c>
      <c r="C7996" s="8" t="s">
        <v>5</v>
      </c>
      <c r="D7996" s="11" t="s">
        <v>320</v>
      </c>
    </row>
    <row r="7997" spans="1:4" ht="30">
      <c r="A7997" s="5" t="str">
        <f>HYPERLINK("https://www.oit.va.gov/Services/TRM/ToolPage.aspx?tid=10022^","ITK-SNAP")</f>
        <v>ITK-SNAP</v>
      </c>
      <c r="B7997" s="4" t="s">
        <v>524</v>
      </c>
      <c r="C7997" s="8" t="s">
        <v>5</v>
      </c>
      <c r="D7997" s="11" t="s">
        <v>525</v>
      </c>
    </row>
    <row r="7998" spans="1:4" ht="30">
      <c r="A7998" s="5" t="str">
        <f>HYPERLINK("https://www.oit.va.gov/Services/TRM/ToolPage.aspx?tid=8155^","VARSKIN+")</f>
        <v>VARSKIN+</v>
      </c>
      <c r="B7998" s="4" t="s">
        <v>2332</v>
      </c>
      <c r="C7998" s="8" t="s">
        <v>5</v>
      </c>
      <c r="D7998" s="11" t="s">
        <v>529</v>
      </c>
    </row>
    <row r="7999" spans="1:4" ht="30">
      <c r="A7999" s="5" t="str">
        <f>HYPERLINK("https://www.oit.va.gov/Services/TRM/StandardPage.aspx?tid=5230^","United States Pharmacopeia - National Formulary (USP-NF)")</f>
        <v>United States Pharmacopeia - National Formulary (USP-NF)</v>
      </c>
      <c r="B7999" s="4" t="s">
        <v>3595</v>
      </c>
      <c r="C7999" s="8" t="s">
        <v>5</v>
      </c>
      <c r="D7999" s="11" t="s">
        <v>3596</v>
      </c>
    </row>
    <row r="8000" spans="1:4" ht="30">
      <c r="A8000" s="5" t="str">
        <f>HYPERLINK("https://www.oit.va.gov/Services/TRM/ToolPage.aspx?tid=8116^","CancerGene")</f>
        <v>CancerGene</v>
      </c>
      <c r="B8000" s="4" t="s">
        <v>3193</v>
      </c>
      <c r="C8000" s="8" t="s">
        <v>5</v>
      </c>
      <c r="D8000" s="11" t="s">
        <v>3194</v>
      </c>
    </row>
    <row r="8001" spans="1:4" ht="30">
      <c r="A8001" s="5" t="str">
        <f>HYPERLINK("https://www.oit.va.gov/Services/TRM/ToolPage.aspx?tid=11299^","Perl Open Source Digital Imaging and Communications in Medicine [DICOM] Archive (Posda) Tools")</f>
        <v>Perl Open Source Digital Imaging and Communications in Medicine [DICOM] Archive (Posda) Tools</v>
      </c>
      <c r="B8001" s="4" t="s">
        <v>4592</v>
      </c>
      <c r="C8001" s="8" t="s">
        <v>5</v>
      </c>
      <c r="D8001" s="11" t="s">
        <v>177</v>
      </c>
    </row>
    <row r="8002" spans="1:4" ht="30">
      <c r="A8002" s="5" t="str">
        <f>HYPERLINK("https://www.oit.va.gov/Services/TRM/ToolPage.aspx?tid=14088^","SubPrint")</f>
        <v>SubPrint</v>
      </c>
      <c r="B8002" s="4" t="s">
        <v>8753</v>
      </c>
      <c r="C8002" s="8" t="s">
        <v>5</v>
      </c>
      <c r="D8002" s="11" t="s">
        <v>4301</v>
      </c>
    </row>
    <row r="8003" spans="1:4" ht="30">
      <c r="A8003" s="5" t="str">
        <f>HYPERLINK("https://www.oit.va.gov/Services/TRM/ToolPage.aspx?tid=6362^","Ubuntu Desktop")</f>
        <v>Ubuntu Desktop</v>
      </c>
      <c r="B8003" s="4" t="s">
        <v>7262</v>
      </c>
      <c r="C8003" s="8" t="s">
        <v>5</v>
      </c>
      <c r="D8003" s="11" t="s">
        <v>7263</v>
      </c>
    </row>
    <row r="8004" spans="1:4" ht="30">
      <c r="A8004" s="5" t="str">
        <f>HYPERLINK("https://www.oit.va.gov/Services/TRM/ToolPage.aspx?tid=6363^","Ubuntu Server")</f>
        <v>Ubuntu Server</v>
      </c>
      <c r="B8004" s="4" t="s">
        <v>7262</v>
      </c>
      <c r="C8004" s="8" t="s">
        <v>5</v>
      </c>
      <c r="D8004" s="11" t="s">
        <v>2325</v>
      </c>
    </row>
    <row r="8005" spans="1:4" ht="30">
      <c r="A8005" s="5" t="str">
        <f>HYPERLINK("https://www.oit.va.gov/Services/TRM/ToolPage.aspx?tid=13225^","Upstart")</f>
        <v>Upstart</v>
      </c>
      <c r="B8005" s="4" t="s">
        <v>7262</v>
      </c>
      <c r="C8005" s="8" t="s">
        <v>5</v>
      </c>
      <c r="D8005" s="11" t="s">
        <v>385</v>
      </c>
    </row>
    <row r="8006" spans="1:4" ht="30">
      <c r="A8006" s="5" t="str">
        <f>HYPERLINK("https://www.oit.va.gov/Services/TRM/ToolPage.aspx?tid=12925^","UiPATH")</f>
        <v>UiPATH</v>
      </c>
      <c r="B8006" s="4" t="s">
        <v>884</v>
      </c>
      <c r="C8006" s="8" t="s">
        <v>5</v>
      </c>
      <c r="D8006" s="11" t="s">
        <v>885</v>
      </c>
    </row>
    <row r="8007" spans="1:4" ht="30">
      <c r="A8007" s="5" t="str">
        <f>HYPERLINK("https://www.oit.va.gov/Services/TRM/ToolPage.aspx?tid=16289^","UiPath Automation Platform")</f>
        <v>UiPath Automation Platform</v>
      </c>
      <c r="B8007" s="4" t="s">
        <v>884</v>
      </c>
      <c r="C8007" s="8" t="s">
        <v>5</v>
      </c>
      <c r="D8007" s="11" t="s">
        <v>2011</v>
      </c>
    </row>
    <row r="8008" spans="1:4" ht="30">
      <c r="A8008" s="5" t="str">
        <f>HYPERLINK("https://www.oit.va.gov/Services/TRM/ToolPage.aspx?tid=14653^","UiPath Browser Extension")</f>
        <v>UiPath Browser Extension</v>
      </c>
      <c r="B8008" s="4" t="s">
        <v>884</v>
      </c>
      <c r="C8008" s="8" t="s">
        <v>5</v>
      </c>
      <c r="D8008" s="11" t="s">
        <v>4939</v>
      </c>
    </row>
    <row r="8009" spans="1:4" ht="30">
      <c r="A8009" s="5" t="str">
        <f>HYPERLINK("https://www.oit.va.gov/Services/TRM/ToolPage.aspx?tid=15727^","Government Time and Attendance (GovTA)")</f>
        <v>Government Time and Attendance (GovTA)</v>
      </c>
      <c r="B8009" s="4" t="s">
        <v>5835</v>
      </c>
      <c r="C8009" s="8" t="s">
        <v>5</v>
      </c>
      <c r="D8009" s="11" t="s">
        <v>2054</v>
      </c>
    </row>
    <row r="8010" spans="1:4" ht="30">
      <c r="A8010" s="5" t="str">
        <f>HYPERLINK("https://www.oit.va.gov/Services/TRM/ToolPage.aspx?tid=8260^","webTA (Time and Attendance)")</f>
        <v>webTA (Time and Attendance)</v>
      </c>
      <c r="B8010" s="4" t="s">
        <v>5835</v>
      </c>
      <c r="C8010" s="8" t="s">
        <v>5</v>
      </c>
      <c r="D8010" s="11" t="s">
        <v>6160</v>
      </c>
    </row>
    <row r="8011" spans="1:4" ht="30">
      <c r="A8011" s="5" t="str">
        <f>HYPERLINK("https://www.oit.va.gov/Services/TRM/ToolPage.aspx?tid=10816^","Occupational Health Manager (OHM)")</f>
        <v>Occupational Health Manager (OHM)</v>
      </c>
      <c r="B8011" s="4" t="s">
        <v>8353</v>
      </c>
      <c r="C8011" s="8" t="s">
        <v>5</v>
      </c>
      <c r="D8011" s="11" t="s">
        <v>5779</v>
      </c>
    </row>
    <row r="8012" spans="1:4" ht="30">
      <c r="A8012" s="5" t="str">
        <f>HYPERLINK("https://www.oit.va.gov/Services/TRM/ToolPage.aspx?tid=14414^","UltiDev Web Server Pro (UWS)")</f>
        <v>UltiDev Web Server Pro (UWS)</v>
      </c>
      <c r="B8012" s="4" t="s">
        <v>8837</v>
      </c>
      <c r="C8012" s="8" t="s">
        <v>5</v>
      </c>
      <c r="D8012" s="11" t="s">
        <v>8838</v>
      </c>
    </row>
    <row r="8013" spans="1:4" ht="30">
      <c r="A8013" s="5" t="str">
        <f>HYPERLINK("https://www.oit.va.gov/Services/TRM/ToolPage.aspx?tid=15001^","Cura")</f>
        <v>Cura</v>
      </c>
      <c r="B8013" s="4" t="s">
        <v>3235</v>
      </c>
      <c r="C8013" s="8" t="s">
        <v>5</v>
      </c>
      <c r="D8013" s="11" t="s">
        <v>3236</v>
      </c>
    </row>
    <row r="8014" spans="1:4" ht="30">
      <c r="A8014" s="5" t="str">
        <f>HYPERLINK("https://www.oit.va.gov/Services/TRM/ToolPage.aspx?tid=14677^","Ultrabac")</f>
        <v>Ultrabac</v>
      </c>
      <c r="B8014" s="4" t="s">
        <v>3588</v>
      </c>
      <c r="C8014" s="8" t="s">
        <v>5</v>
      </c>
      <c r="D8014" s="11" t="s">
        <v>3589</v>
      </c>
    </row>
    <row r="8015" spans="1:4" ht="30">
      <c r="A8015" s="5" t="str">
        <f>HYPERLINK("https://www.oit.va.gov/Services/TRM/ToolPage.aspx?tid=9435^","Optimum-UltraViolet (UV) System Data Downloader Software")</f>
        <v>Optimum-UltraViolet (UV) System Data Downloader Software</v>
      </c>
      <c r="B8015" s="4" t="s">
        <v>3438</v>
      </c>
      <c r="C8015" s="8" t="s">
        <v>5</v>
      </c>
      <c r="D8015" s="11" t="s">
        <v>3439</v>
      </c>
    </row>
    <row r="8016" spans="1:4" ht="30">
      <c r="A8016" s="5" t="str">
        <f>HYPERLINK("https://www.oit.va.gov/Services/TRM/ToolPage.aspx?tid=10392^","Ultra Virtual Network Computing (VNC)")</f>
        <v>Ultra Virtual Network Computing (VNC)</v>
      </c>
      <c r="B8016" s="4" t="s">
        <v>3586</v>
      </c>
      <c r="C8016" s="8" t="s">
        <v>5</v>
      </c>
      <c r="D8016" s="11" t="s">
        <v>3587</v>
      </c>
    </row>
    <row r="8017" spans="1:4" ht="30">
      <c r="A8017" s="5" t="str">
        <f>HYPERLINK("https://www.oit.va.gov/Services/TRM/ToolPage.aspx?tid=11310^","Alpha Series Pager Programming Software (PPS)")</f>
        <v>Alpha Series Pager Programming Software (PPS)</v>
      </c>
      <c r="B8017" s="4" t="s">
        <v>7433</v>
      </c>
      <c r="C8017" s="8" t="s">
        <v>5</v>
      </c>
      <c r="D8017" s="11" t="s">
        <v>7345</v>
      </c>
    </row>
    <row r="8018" spans="1:4" ht="30">
      <c r="A8018" s="5" t="str">
        <f>HYPERLINK("https://www.oit.va.gov/Services/TRM/ToolPage.aspx?tid=6724^","UNICOM Focal Point")</f>
        <v>UNICOM Focal Point</v>
      </c>
      <c r="B8018" s="4" t="s">
        <v>478</v>
      </c>
      <c r="C8018" s="8" t="s">
        <v>5</v>
      </c>
      <c r="D8018" s="11" t="s">
        <v>479</v>
      </c>
    </row>
    <row r="8019" spans="1:4" ht="30">
      <c r="A8019" s="5" t="str">
        <f>HYPERLINK("https://www.oit.va.gov/Services/TRM/ToolPage.aspx?tid=7549^","Unicom Intelligence Reporter")</f>
        <v>Unicom Intelligence Reporter</v>
      </c>
      <c r="B8019" s="4" t="s">
        <v>478</v>
      </c>
      <c r="C8019" s="8" t="s">
        <v>5</v>
      </c>
      <c r="D8019" s="11" t="s">
        <v>480</v>
      </c>
    </row>
    <row r="8020" spans="1:4" ht="30">
      <c r="A8020" s="5" t="str">
        <f>HYPERLINK("https://www.oit.va.gov/Services/TRM/ToolPage.aspx?tid=7550^","Data Collection Survey Reporter Server")</f>
        <v>Data Collection Survey Reporter Server</v>
      </c>
      <c r="B8020" s="4" t="s">
        <v>478</v>
      </c>
      <c r="C8020" s="8" t="s">
        <v>5</v>
      </c>
      <c r="D8020" s="11" t="s">
        <v>505</v>
      </c>
    </row>
    <row r="8021" spans="1:4" ht="30">
      <c r="A8021" s="5" t="str">
        <f>HYPERLINK("https://www.oit.va.gov/Services/TRM/ToolPage.aspx?tid=6920^","System Architect")</f>
        <v>System Architect</v>
      </c>
      <c r="B8021" s="4" t="s">
        <v>478</v>
      </c>
      <c r="C8021" s="8" t="s">
        <v>5</v>
      </c>
      <c r="D8021" s="11" t="s">
        <v>756</v>
      </c>
    </row>
    <row r="8022" spans="1:4" ht="30">
      <c r="A8022" s="5" t="str">
        <f>HYPERLINK("https://www.oit.va.gov/Services/TRM/ToolPage.aspx?tid=7622^","Unicom Intelligence Author")</f>
        <v>Unicom Intelligence Author</v>
      </c>
      <c r="B8022" s="4" t="s">
        <v>478</v>
      </c>
      <c r="C8022" s="8" t="s">
        <v>5</v>
      </c>
      <c r="D8022" s="11" t="s">
        <v>1119</v>
      </c>
    </row>
    <row r="8023" spans="1:4" ht="30">
      <c r="A8023" s="5" t="str">
        <f>HYPERLINK("https://www.oit.va.gov/Services/TRM/ToolPage.aspx?tid=274^","Unicom PurifyPlus")</f>
        <v>Unicom PurifyPlus</v>
      </c>
      <c r="B8023" s="4" t="s">
        <v>478</v>
      </c>
      <c r="C8023" s="8" t="s">
        <v>5</v>
      </c>
      <c r="D8023" s="11" t="s">
        <v>1217</v>
      </c>
    </row>
    <row r="8024" spans="1:4" ht="30">
      <c r="A8024" s="5" t="str">
        <f>HYPERLINK("https://www.oit.va.gov/Services/TRM/ToolPage.aspx?tid=10264^","System Architect Xtended Team (XT)")</f>
        <v>System Architect Xtended Team (XT)</v>
      </c>
      <c r="B8024" s="4" t="s">
        <v>478</v>
      </c>
      <c r="C8024" s="8" t="s">
        <v>5</v>
      </c>
      <c r="D8024" s="11" t="s">
        <v>771</v>
      </c>
    </row>
    <row r="8025" spans="1:4" ht="30">
      <c r="A8025" s="5" t="str">
        <f>HYPERLINK("https://www.oit.va.gov/Services/TRM/ToolPage.aspx?tid=7616^","Unicom Intelligence Web Interviewer")</f>
        <v>Unicom Intelligence Web Interviewer</v>
      </c>
      <c r="B8025" s="4" t="s">
        <v>478</v>
      </c>
      <c r="C8025" s="8" t="s">
        <v>5</v>
      </c>
      <c r="D8025" s="11" t="s">
        <v>480</v>
      </c>
    </row>
    <row r="8026" spans="1:4" ht="30">
      <c r="A8026" s="5" t="str">
        <f>HYPERLINK("https://www.oit.va.gov/Services/TRM/ToolPage.aspx?tid=12827^","Unicom Intelligence Data Entry")</f>
        <v>Unicom Intelligence Data Entry</v>
      </c>
      <c r="B8026" s="4" t="s">
        <v>478</v>
      </c>
      <c r="C8026" s="8" t="s">
        <v>5</v>
      </c>
      <c r="D8026" s="11" t="s">
        <v>3590</v>
      </c>
    </row>
    <row r="8027" spans="1:4" ht="30">
      <c r="A8027" s="5" t="str">
        <f>HYPERLINK("https://www.oit.va.gov/Services/TRM/ToolPage.aspx?tid=12824^","Unicom Intelligence Professional")</f>
        <v>Unicom Intelligence Professional</v>
      </c>
      <c r="B8027" s="4" t="s">
        <v>478</v>
      </c>
      <c r="C8027" s="8" t="s">
        <v>5</v>
      </c>
      <c r="D8027" s="11" t="s">
        <v>3591</v>
      </c>
    </row>
    <row r="8028" spans="1:4" ht="30">
      <c r="A8028" s="5" t="str">
        <f>HYPERLINK("https://www.oit.va.gov/Services/TRM/ToolPage.aspx?tid=7481^","PhoneView")</f>
        <v>PhoneView</v>
      </c>
      <c r="B8028" s="4" t="s">
        <v>2853</v>
      </c>
      <c r="C8028" s="8" t="s">
        <v>5</v>
      </c>
      <c r="D8028" s="11" t="s">
        <v>2854</v>
      </c>
    </row>
    <row r="8029" spans="1:4" ht="30">
      <c r="A8029" s="5" t="str">
        <f>HYPERLINK("https://www.oit.va.gov/Services/TRM/ToolPage.aspx?tid=13786^","MigrationFX")</f>
        <v>MigrationFX</v>
      </c>
      <c r="B8029" s="4" t="s">
        <v>2853</v>
      </c>
      <c r="C8029" s="8" t="s">
        <v>5</v>
      </c>
      <c r="D8029" s="11" t="s">
        <v>4426</v>
      </c>
    </row>
    <row r="8030" spans="1:4" ht="30">
      <c r="A8030" s="5" t="str">
        <f>HYPERLINK("https://www.oit.va.gov/Services/TRM/ToolPage.aspx?tid=5575^","Enterprise Archive Solution")</f>
        <v>Enterprise Archive Solution</v>
      </c>
      <c r="B8030" s="4" t="s">
        <v>6579</v>
      </c>
      <c r="C8030" s="8" t="s">
        <v>5</v>
      </c>
      <c r="D8030" s="11" t="s">
        <v>2583</v>
      </c>
    </row>
    <row r="8031" spans="1:4" ht="30">
      <c r="A8031" s="5" t="str">
        <f>HYPERLINK("https://www.oit.va.gov/Services/TRM/ToolPage.aspx?tid=8414^","OpenScape Xpressions")</f>
        <v>OpenScape Xpressions</v>
      </c>
      <c r="B8031" s="4" t="s">
        <v>1801</v>
      </c>
      <c r="C8031" s="8" t="s">
        <v>5</v>
      </c>
      <c r="D8031" s="11" t="s">
        <v>1802</v>
      </c>
    </row>
    <row r="8032" spans="1:4" ht="30">
      <c r="A8032" s="5" t="str">
        <f>HYPERLINK("https://www.oit.va.gov/Services/TRM/ToolPage.aspx?tid=6089^","OpenScape Contact Center Enterprise")</f>
        <v>OpenScape Contact Center Enterprise</v>
      </c>
      <c r="B8032" s="4" t="s">
        <v>1801</v>
      </c>
      <c r="C8032" s="8" t="s">
        <v>5</v>
      </c>
      <c r="D8032" s="11" t="s">
        <v>2792</v>
      </c>
    </row>
    <row r="8033" spans="1:4" ht="30">
      <c r="A8033" s="5" t="str">
        <f>HYPERLINK("https://www.oit.va.gov/Services/TRM/ToolPage.aspx?tid=10080^","OpenScape Unified Communications (UC)")</f>
        <v>OpenScape Unified Communications (UC)</v>
      </c>
      <c r="B8033" s="4" t="s">
        <v>1801</v>
      </c>
      <c r="C8033" s="8" t="s">
        <v>5</v>
      </c>
      <c r="D8033" s="11" t="s">
        <v>6968</v>
      </c>
    </row>
    <row r="8034" spans="1:4" ht="30">
      <c r="A8034" s="5" t="str">
        <f>HYPERLINK("https://www.oit.va.gov/Services/TRM/ToolPage.aspx?tid=13843^","Unify, OpenScape Desktop Client")</f>
        <v>Unify, OpenScape Desktop Client</v>
      </c>
      <c r="B8034" s="4" t="s">
        <v>1801</v>
      </c>
      <c r="C8034" s="8" t="s">
        <v>5</v>
      </c>
      <c r="D8034" s="11" t="s">
        <v>3903</v>
      </c>
    </row>
    <row r="8035" spans="1:4" ht="30">
      <c r="A8035" s="5" t="str">
        <f>HYPERLINK("https://www.oit.va.gov/Services/TRM/ToolPage.aspx?tid=8834^","Configuration Accounting Information Retrieval System (CAIRS)")</f>
        <v>Configuration Accounting Information Retrieval System (CAIRS)</v>
      </c>
      <c r="B8035" s="4" t="s">
        <v>2103</v>
      </c>
      <c r="C8035" s="8" t="s">
        <v>5</v>
      </c>
      <c r="D8035" s="11" t="s">
        <v>2104</v>
      </c>
    </row>
    <row r="8036" spans="1:4" ht="30">
      <c r="A8036" s="5" t="str">
        <f>HYPERLINK("https://www.oit.va.gov/Services/TRM/ToolPage.aspx?tid=15155^","Business Information Server (BIS)")</f>
        <v>Business Information Server (BIS)</v>
      </c>
      <c r="B8036" s="4" t="s">
        <v>1390</v>
      </c>
      <c r="C8036" s="8" t="s">
        <v>5</v>
      </c>
      <c r="D8036" s="11" t="s">
        <v>1391</v>
      </c>
    </row>
    <row r="8037" spans="1:4" ht="30">
      <c r="A8037" s="5" t="str">
        <f>HYPERLINK("https://www.oit.va.gov/Services/TRM/ToolPage.aspx?tid=14038^","Resident Management System (RMS)-Contractor Mode")</f>
        <v>Resident Management System (RMS)-Contractor Mode</v>
      </c>
      <c r="B8037" s="4" t="s">
        <v>2914</v>
      </c>
      <c r="C8037" s="8" t="s">
        <v>5</v>
      </c>
      <c r="D8037" s="11" t="s">
        <v>1090</v>
      </c>
    </row>
    <row r="8038" spans="1:4" ht="30">
      <c r="A8038" s="5" t="str">
        <f>HYPERLINK("https://www.oit.va.gov/Services/TRM/ToolPage.aspx?tid=15943^","Windows Team Awareness Kit (WinTAK) - Civilian (CIV)")</f>
        <v>Windows Team Awareness Kit (WinTAK) - Civilian (CIV)</v>
      </c>
      <c r="B8038" s="4" t="s">
        <v>4998</v>
      </c>
      <c r="C8038" s="8" t="s">
        <v>5</v>
      </c>
      <c r="D8038" s="11" t="s">
        <v>4999</v>
      </c>
    </row>
    <row r="8039" spans="1:4" ht="30">
      <c r="A8039" s="5" t="str">
        <f>HYPERLINK("https://www.oit.va.gov/Services/TRM/ToolPage.aspx?tid=8976^","Interactive Customer Evaluation (ICE)")</f>
        <v>Interactive Customer Evaluation (ICE)</v>
      </c>
      <c r="B8039" s="4" t="s">
        <v>4998</v>
      </c>
      <c r="C8039" s="8" t="s">
        <v>5</v>
      </c>
      <c r="D8039" s="11" t="s">
        <v>7896</v>
      </c>
    </row>
    <row r="8040" spans="1:4" ht="30">
      <c r="A8040" s="5" t="str">
        <f>HYPERLINK("https://www.oit.va.gov/Services/TRM/ToolPage.aspx?tid=8527^","MotorMaster+ International")</f>
        <v>MotorMaster+ International</v>
      </c>
      <c r="B8040" s="4" t="s">
        <v>6890</v>
      </c>
      <c r="C8040" s="8" t="s">
        <v>5</v>
      </c>
      <c r="D8040" s="11" t="s">
        <v>6891</v>
      </c>
    </row>
    <row r="8041" spans="1:4" ht="30">
      <c r="A8041" s="5" t="str">
        <f>HYPERLINK("https://www.oit.va.gov/Services/TRM/ToolPage.aspx?tid=13868^","Click-N-Ship Business Pro")</f>
        <v>Click-N-Ship Business Pro</v>
      </c>
      <c r="B8041" s="4" t="s">
        <v>6420</v>
      </c>
      <c r="C8041" s="8" t="s">
        <v>5</v>
      </c>
      <c r="D8041" s="11" t="s">
        <v>4024</v>
      </c>
    </row>
    <row r="8042" spans="1:4" ht="30">
      <c r="A8042" s="5" t="str">
        <f>HYPERLINK("https://www.oit.va.gov/Services/TRM/ToolPage.aspx?tid=7593^","United States Postal Service (USPS) Meter Label Solution")</f>
        <v>United States Postal Service (USPS) Meter Label Solution</v>
      </c>
      <c r="B8042" s="4" t="s">
        <v>6420</v>
      </c>
      <c r="C8042" s="8" t="s">
        <v>5</v>
      </c>
      <c r="D8042" s="11" t="s">
        <v>7272</v>
      </c>
    </row>
    <row r="8043" spans="1:4" ht="30">
      <c r="A8043" s="5" t="str">
        <f>HYPERLINK("https://www.oit.va.gov/Services/TRM/ToolPage.aspx?tid=8457^","Unitrends Enterprise Backup (UEB)")</f>
        <v>Unitrends Enterprise Backup (UEB)</v>
      </c>
      <c r="B8043" s="4" t="s">
        <v>8848</v>
      </c>
      <c r="C8043" s="8" t="s">
        <v>5</v>
      </c>
      <c r="D8043" s="11" t="s">
        <v>8442</v>
      </c>
    </row>
    <row r="8044" spans="1:4" ht="30">
      <c r="A8044" s="5" t="str">
        <f>HYPERLINK("https://www.oit.va.gov/Services/TRM/ToolPage.aspx?tid=9088^","TrueFit")</f>
        <v>TrueFit</v>
      </c>
      <c r="B8044" s="4" t="s">
        <v>4934</v>
      </c>
      <c r="C8044" s="8" t="s">
        <v>5</v>
      </c>
      <c r="D8044" s="11" t="s">
        <v>4935</v>
      </c>
    </row>
    <row r="8045" spans="1:4" ht="30">
      <c r="A8045" s="5" t="str">
        <f>HYPERLINK("https://www.oit.va.gov/Services/TRM/ToolPage.aspx?tid=7018^","Unity")</f>
        <v>Unity</v>
      </c>
      <c r="B8045" s="4" t="s">
        <v>4945</v>
      </c>
      <c r="C8045" s="8" t="s">
        <v>5</v>
      </c>
      <c r="D8045" s="11" t="s">
        <v>4946</v>
      </c>
    </row>
    <row r="8046" spans="1:4" ht="30">
      <c r="A8046" s="5" t="str">
        <f>HYPERLINK("https://www.oit.va.gov/Services/TRM/ToolPage.aspx?tid=7407^","Unity Engine")</f>
        <v>Unity Engine</v>
      </c>
      <c r="B8046" s="4" t="s">
        <v>2016</v>
      </c>
      <c r="C8046" s="8" t="s">
        <v>5</v>
      </c>
      <c r="D8046" s="11" t="s">
        <v>2017</v>
      </c>
    </row>
    <row r="8047" spans="1:4" ht="30">
      <c r="A8047" s="5" t="str">
        <f>HYPERLINK("https://www.oit.va.gov/Services/TRM/ToolPage.aspx?tid=6167^","Unity Web Player")</f>
        <v>Unity Web Player</v>
      </c>
      <c r="B8047" s="4" t="s">
        <v>2016</v>
      </c>
      <c r="C8047" s="8" t="s">
        <v>5</v>
      </c>
      <c r="D8047" s="11" t="s">
        <v>7165</v>
      </c>
    </row>
    <row r="8048" spans="1:4" ht="30">
      <c r="A8048" s="5" t="str">
        <f>HYPERLINK("https://www.oit.va.gov/Services/TRM/ToolPage.aspx?tid=15006^","Universal Control Panel")</f>
        <v>Universal Control Panel</v>
      </c>
      <c r="B8048" s="4" t="s">
        <v>8849</v>
      </c>
      <c r="C8048" s="8" t="s">
        <v>5</v>
      </c>
      <c r="D8048" s="11" t="s">
        <v>8850</v>
      </c>
    </row>
    <row r="8049" spans="1:4" ht="30">
      <c r="A8049" s="5" t="str">
        <f>HYPERLINK("https://www.oit.va.gov/Services/TRM/ToolPage.aspx?tid=16424^","Rockwell Automation FactoryTalk View Site Edition (Client)")</f>
        <v>Rockwell Automation FactoryTalk View Site Edition (Client)</v>
      </c>
      <c r="B8049" s="4" t="s">
        <v>4746</v>
      </c>
      <c r="C8049" s="8" t="s">
        <v>5</v>
      </c>
      <c r="D8049" s="11" t="s">
        <v>4747</v>
      </c>
    </row>
    <row r="8050" spans="1:4" ht="30">
      <c r="A8050" s="5" t="str">
        <f>HYPERLINK("https://www.oit.va.gov/Services/TRM/ToolPage.aspx?tid=16425^","Rockwell Automation FactoryTalk View Site Edition (Server)")</f>
        <v>Rockwell Automation FactoryTalk View Site Edition (Server)</v>
      </c>
      <c r="B8050" s="4" t="s">
        <v>4746</v>
      </c>
      <c r="C8050" s="8" t="s">
        <v>5</v>
      </c>
      <c r="D8050" s="11" t="s">
        <v>4747</v>
      </c>
    </row>
    <row r="8051" spans="1:4" ht="30">
      <c r="A8051" s="5" t="str">
        <f>HYPERLINK("https://www.oit.va.gov/Services/TRM/ToolPage.aspx?tid=16585^","Universal Logic Neocortex")</f>
        <v>Universal Logic Neocortex</v>
      </c>
      <c r="B8051" s="4" t="s">
        <v>4746</v>
      </c>
      <c r="C8051" s="8" t="s">
        <v>5</v>
      </c>
      <c r="D8051" s="11" t="s">
        <v>4949</v>
      </c>
    </row>
    <row r="8052" spans="1:4" ht="30">
      <c r="A8052" s="5" t="str">
        <f>HYPERLINK("https://www.oit.va.gov/Services/TRM/ToolPage.aspx?tid=14763^","depthmapX")</f>
        <v>depthmapX</v>
      </c>
      <c r="B8052" s="4" t="s">
        <v>6499</v>
      </c>
      <c r="C8052" s="8" t="s">
        <v>5</v>
      </c>
      <c r="D8052" s="11" t="s">
        <v>6500</v>
      </c>
    </row>
    <row r="8053" spans="1:4" ht="30">
      <c r="A8053" s="5" t="str">
        <f>HYPERLINK("https://www.oit.va.gov/Services/TRM/ToolPage.aspx?tid=7919^","Health Level Seven (HL7) Application Programming Interface (HAPI)")</f>
        <v>Health Level Seven (HL7) Application Programming Interface (HAPI)</v>
      </c>
      <c r="B8053" s="4" t="s">
        <v>4214</v>
      </c>
      <c r="C8053" s="8" t="s">
        <v>5</v>
      </c>
      <c r="D8053" s="11" t="s">
        <v>119</v>
      </c>
    </row>
    <row r="8054" spans="1:4" ht="30">
      <c r="A8054" s="5" t="str">
        <f>HYPERLINK("https://www.oit.va.gov/Services/TRM/ToolPage.aspx?tid=6712^","MLwiN")</f>
        <v>MLwiN</v>
      </c>
      <c r="B8054" s="4" t="s">
        <v>4438</v>
      </c>
      <c r="C8054" s="8" t="s">
        <v>5</v>
      </c>
      <c r="D8054" s="11" t="s">
        <v>4439</v>
      </c>
    </row>
    <row r="8055" spans="1:4" ht="30">
      <c r="A8055" s="5" t="str">
        <f>HYPERLINK("https://www.oit.va.gov/Services/TRM/ToolPage.aspx?tid=16331^","ReCall")</f>
        <v>ReCall</v>
      </c>
      <c r="B8055" s="4" t="s">
        <v>4719</v>
      </c>
      <c r="C8055" s="8" t="s">
        <v>5</v>
      </c>
      <c r="D8055" s="11" t="s">
        <v>4720</v>
      </c>
    </row>
    <row r="8056" spans="1:4" ht="30">
      <c r="A8056" s="5" t="str">
        <f>HYPERLINK("https://www.oit.va.gov/Services/TRM/ToolPage.aspx?tid=14644^","Computerized Diagnostic Interview Schedule, Version IV (C DIS-IV)")</f>
        <v>Computerized Diagnostic Interview Schedule, Version IV (C DIS-IV)</v>
      </c>
      <c r="B8056" s="4" t="s">
        <v>7689</v>
      </c>
      <c r="C8056" s="8" t="s">
        <v>5</v>
      </c>
      <c r="D8056" s="11" t="s">
        <v>4136</v>
      </c>
    </row>
    <row r="8057" spans="1:4" ht="30">
      <c r="A8057" s="5" t="str">
        <f>HYPERLINK("https://www.oit.va.gov/Services/TRM/ToolPage.aspx?tid=10243^","Imputation and Variance Estimation Software (IVEware)")</f>
        <v>Imputation and Variance Estimation Software (IVEware)</v>
      </c>
      <c r="B8057" s="4" t="s">
        <v>5245</v>
      </c>
      <c r="C8057" s="8" t="s">
        <v>5</v>
      </c>
      <c r="D8057" s="11" t="s">
        <v>5246</v>
      </c>
    </row>
    <row r="8058" spans="1:4" ht="45">
      <c r="A8058" s="5" t="str">
        <f>HYPERLINK("https://www.oit.va.gov/Services/TRM/ToolPage.aspx?tid=6948^","Center on Alcoholism, Substance Abuse, and Addictions (CASAA) Application for Coding Treatment Interactions (CACTI)")</f>
        <v>Center on Alcoholism, Substance Abuse, and Addictions (CASAA) Application for Coding Treatment Interactions (CACTI)</v>
      </c>
      <c r="B8058" s="4" t="s">
        <v>5092</v>
      </c>
      <c r="C8058" s="8" t="s">
        <v>5</v>
      </c>
      <c r="D8058" s="11" t="s">
        <v>5093</v>
      </c>
    </row>
    <row r="8059" spans="1:4" ht="30">
      <c r="A8059" s="5" t="str">
        <f>HYPERLINK("https://www.oit.va.gov/Services/TRM/ToolPage.aspx?tid=14351^","Arterial Spin Labeled Perfusion Magnetic resonance imaging (MRI) data processing toolbox (ASLtbx)")</f>
        <v>Arterial Spin Labeled Perfusion Magnetic resonance imaging (MRI) data processing toolbox (ASLtbx)</v>
      </c>
      <c r="B8059" s="4" t="s">
        <v>3777</v>
      </c>
      <c r="C8059" s="8" t="s">
        <v>5</v>
      </c>
      <c r="D8059" s="11" t="s">
        <v>3736</v>
      </c>
    </row>
    <row r="8060" spans="1:4" ht="30">
      <c r="A8060" s="5" t="str">
        <f>HYPERLINK("https://www.oit.va.gov/Services/TRM/ToolPage.aspx?tid=15129^","Virtual Fall Simulation")</f>
        <v>Virtual Fall Simulation</v>
      </c>
      <c r="B8060" s="4" t="s">
        <v>8879</v>
      </c>
      <c r="C8060" s="8" t="s">
        <v>5</v>
      </c>
      <c r="D8060" s="11" t="s">
        <v>4445</v>
      </c>
    </row>
    <row r="8061" spans="1:4" ht="30">
      <c r="A8061" s="5" t="str">
        <f>HYPERLINK("https://www.oit.va.gov/Services/TRM/ToolPage.aspx?tid=15111^","CLAMP (Clinical Language Annotation, Modeling, and Processing) Toolkit")</f>
        <v>CLAMP (Clinical Language Annotation, Modeling, and Processing) Toolkit</v>
      </c>
      <c r="B8061" s="4" t="s">
        <v>1430</v>
      </c>
      <c r="C8061" s="8" t="s">
        <v>5</v>
      </c>
      <c r="D8061" s="11" t="s">
        <v>1010</v>
      </c>
    </row>
    <row r="8062" spans="1:4" ht="30">
      <c r="A8062" s="5" t="str">
        <f>HYPERLINK("https://www.oit.va.gov/Services/TRM/ToolPage.aspx?tid=14316^","Mango")</f>
        <v>Mango</v>
      </c>
      <c r="B8062" s="4" t="s">
        <v>1430</v>
      </c>
      <c r="C8062" s="8" t="s">
        <v>5</v>
      </c>
      <c r="D8062" s="11" t="s">
        <v>64</v>
      </c>
    </row>
    <row r="8063" spans="1:4" ht="30">
      <c r="A8063" s="5" t="str">
        <f>HYPERLINK("https://www.oit.va.gov/Services/TRM/ToolPage.aspx?tid=16623^","Decision Precision+")</f>
        <v>Decision Precision+</v>
      </c>
      <c r="B8063" s="4" t="s">
        <v>5748</v>
      </c>
      <c r="C8063" s="8" t="s">
        <v>5</v>
      </c>
      <c r="D8063" s="11" t="s">
        <v>2455</v>
      </c>
    </row>
    <row r="8064" spans="1:4" ht="30">
      <c r="A8064" s="5" t="str">
        <f>HYPERLINK("https://www.oit.va.gov/Services/TRM/ToolPage.aspx?tid=9278^","Congestive Heart Failure Information Extraction Framework (CHIEF)")</f>
        <v>Congestive Heart Failure Information Extraction Framework (CHIEF)</v>
      </c>
      <c r="B8064" s="4" t="s">
        <v>5748</v>
      </c>
      <c r="C8064" s="8" t="s">
        <v>5</v>
      </c>
      <c r="D8064" s="11" t="s">
        <v>2449</v>
      </c>
    </row>
    <row r="8065" spans="1:4" ht="30">
      <c r="A8065" s="5" t="str">
        <f>HYPERLINK("https://www.oit.va.gov/Services/TRM/ToolPage.aspx?tid=9295^","EchoExtractor")</f>
        <v>EchoExtractor</v>
      </c>
      <c r="B8065" s="4" t="s">
        <v>4064</v>
      </c>
      <c r="C8065" s="8" t="s">
        <v>5</v>
      </c>
      <c r="D8065" s="11" t="s">
        <v>1709</v>
      </c>
    </row>
    <row r="8066" spans="1:4" ht="30">
      <c r="A8066" s="5" t="str">
        <f>HYPERLINK("https://www.oit.va.gov/Services/TRM/ToolPage.aspx?tid=9171^","Vulnerable Veteran – Innovative PACT (VIP)")</f>
        <v>Vulnerable Veteran – Innovative PACT (VIP)</v>
      </c>
      <c r="B8066" s="4" t="s">
        <v>4064</v>
      </c>
      <c r="C8066" s="8" t="s">
        <v>5</v>
      </c>
      <c r="D8066" s="11" t="s">
        <v>4942</v>
      </c>
    </row>
    <row r="8067" spans="1:4" ht="30">
      <c r="A8067" s="5" t="str">
        <f>HYPERLINK("https://www.oit.va.gov/Services/TRM/ToolPage.aspx?tid=9412^","Seattle Heart Failure Model (SHFM)")</f>
        <v>Seattle Heart Failure Model (SHFM)</v>
      </c>
      <c r="B8067" s="4" t="s">
        <v>5497</v>
      </c>
      <c r="C8067" s="8" t="s">
        <v>5</v>
      </c>
      <c r="D8067" s="11" t="s">
        <v>5498</v>
      </c>
    </row>
    <row r="8068" spans="1:4" ht="30">
      <c r="A8068" s="5" t="str">
        <f>HYPERLINK("https://www.oit.va.gov/Services/TRM/ToolPage.aspx?tid=8507^","Spirometry 360 Feedback Agent")</f>
        <v>Spirometry 360 Feedback Agent</v>
      </c>
      <c r="B8068" s="4" t="s">
        <v>5497</v>
      </c>
      <c r="C8068" s="8" t="s">
        <v>5</v>
      </c>
      <c r="D8068" s="11" t="s">
        <v>5431</v>
      </c>
    </row>
    <row r="8069" spans="1:4" ht="30">
      <c r="A8069" s="5" t="str">
        <f>HYPERLINK("https://www.oit.va.gov/Services/TRM/ToolPage.aspx?tid=15286^","Unleash")</f>
        <v>Unleash</v>
      </c>
      <c r="B8069" s="4" t="s">
        <v>7274</v>
      </c>
      <c r="C8069" s="8" t="s">
        <v>5</v>
      </c>
      <c r="D8069" s="11" t="s">
        <v>7275</v>
      </c>
    </row>
    <row r="8070" spans="1:4" ht="30">
      <c r="A8070" s="5" t="str">
        <f>HYPERLINK("https://www.oit.va.gov/Services/TRM/ToolPage.aspx?tid=6121^","Record Review Assistant (RRA)")</f>
        <v>Record Review Assistant (RRA)</v>
      </c>
      <c r="B8070" s="4" t="s">
        <v>6033</v>
      </c>
      <c r="C8070" s="8" t="s">
        <v>5</v>
      </c>
      <c r="D8070" s="11" t="s">
        <v>2591</v>
      </c>
    </row>
    <row r="8071" spans="1:4" ht="30">
      <c r="A8071" s="5" t="str">
        <f>HYPERLINK("https://www.oit.va.gov/Services/TRM/ToolPage.aspx?tid=8630^","Relaxing Rhythms")</f>
        <v>Relaxing Rhythms</v>
      </c>
      <c r="B8071" s="4" t="s">
        <v>8554</v>
      </c>
      <c r="C8071" s="8" t="s">
        <v>5</v>
      </c>
      <c r="D8071" s="11" t="s">
        <v>8555</v>
      </c>
    </row>
    <row r="8072" spans="1:4" ht="30">
      <c r="A8072" s="5" t="str">
        <f>HYPERLINK("https://www.oit.va.gov/Services/TRM/ToolPage.aspx?tid=8637^","Return to the Sun Realm")</f>
        <v>Return to the Sun Realm</v>
      </c>
      <c r="B8072" s="4" t="s">
        <v>8554</v>
      </c>
      <c r="C8072" s="8" t="s">
        <v>5</v>
      </c>
      <c r="D8072" s="11" t="s">
        <v>8569</v>
      </c>
    </row>
    <row r="8073" spans="1:4" ht="30">
      <c r="A8073" s="5" t="str">
        <f>HYPERLINK("https://www.oit.va.gov/Services/TRM/ToolPage.aspx?tid=14922^","OL Connect")</f>
        <v>OL Connect</v>
      </c>
      <c r="B8073" s="4" t="s">
        <v>1788</v>
      </c>
      <c r="C8073" s="8" t="s">
        <v>5</v>
      </c>
      <c r="D8073" s="11" t="s">
        <v>1789</v>
      </c>
    </row>
    <row r="8074" spans="1:4" ht="30">
      <c r="A8074" s="5" t="str">
        <f>HYPERLINK("https://www.oit.va.gov/Services/TRM/ToolPage.aspx?tid=11466^","United Parcel Service (UPS) CrossWare")</f>
        <v>United Parcel Service (UPS) CrossWare</v>
      </c>
      <c r="B8074" s="4" t="s">
        <v>3047</v>
      </c>
      <c r="C8074" s="8" t="s">
        <v>5</v>
      </c>
      <c r="D8074" s="11" t="s">
        <v>756</v>
      </c>
    </row>
    <row r="8075" spans="1:4" ht="30">
      <c r="A8075" s="5" t="str">
        <f>HYPERLINK("https://www.oit.va.gov/Services/TRM/ToolPage.aspx?tid=16028^","United Parcel Service (UPS) Thermal Printing")</f>
        <v>United Parcel Service (UPS) Thermal Printing</v>
      </c>
      <c r="B8075" s="4" t="s">
        <v>3047</v>
      </c>
      <c r="C8075" s="8" t="s">
        <v>5</v>
      </c>
      <c r="D8075" s="11" t="s">
        <v>3048</v>
      </c>
    </row>
    <row r="8076" spans="1:4" ht="30">
      <c r="A8076" s="5" t="str">
        <f>HYPERLINK("https://www.oit.va.gov/Services/TRM/ToolPage.aspx?tid=5743^","United Parcel Service (UPS) WorldShip")</f>
        <v>United Parcel Service (UPS) WorldShip</v>
      </c>
      <c r="B8076" s="4" t="s">
        <v>3047</v>
      </c>
      <c r="C8076" s="8" t="s">
        <v>5</v>
      </c>
      <c r="D8076" s="11" t="s">
        <v>4944</v>
      </c>
    </row>
    <row r="8077" spans="1:4" ht="30">
      <c r="A8077" s="5" t="str">
        <f>HYPERLINK("https://www.oit.va.gov/Services/TRM/ToolPage.aspx?tid=13788^","Billing Analysis Tool")</f>
        <v>Billing Analysis Tool</v>
      </c>
      <c r="B8077" s="4" t="s">
        <v>3047</v>
      </c>
      <c r="C8077" s="8" t="s">
        <v>5</v>
      </c>
      <c r="D8077" s="11" t="s">
        <v>7553</v>
      </c>
    </row>
    <row r="8078" spans="1:4" ht="30">
      <c r="A8078" s="5" t="str">
        <f>HYPERLINK("https://www.oit.va.gov/Services/TRM/ToolPage.aspx?tid=8391^","United Parcel Service (UPS) Trackpad")</f>
        <v>United Parcel Service (UPS) Trackpad</v>
      </c>
      <c r="B8078" s="4" t="s">
        <v>3047</v>
      </c>
      <c r="C8078" s="8" t="s">
        <v>5</v>
      </c>
      <c r="D8078" s="11" t="s">
        <v>6131</v>
      </c>
    </row>
    <row r="8079" spans="1:4" ht="30">
      <c r="A8079" s="5" t="str">
        <f>HYPERLINK("https://www.oit.va.gov/Services/TRM/ToolPage.aspx?tid=6619^","Subtitle Workshop")</f>
        <v>Subtitle Workshop</v>
      </c>
      <c r="B8079" s="4" t="s">
        <v>4873</v>
      </c>
      <c r="C8079" s="8" t="s">
        <v>5</v>
      </c>
      <c r="D8079" s="11" t="s">
        <v>1820</v>
      </c>
    </row>
    <row r="8080" spans="1:4" ht="30">
      <c r="A8080" s="5" t="str">
        <f>HYPERLINK("https://www.oit.va.gov/Services/TRM/ToolPage.aspx?tid=16518^","MII")</f>
        <v>MII</v>
      </c>
      <c r="B8080" s="4" t="s">
        <v>761</v>
      </c>
      <c r="C8080" s="8" t="s">
        <v>5</v>
      </c>
      <c r="D8080" s="11" t="s">
        <v>762</v>
      </c>
    </row>
    <row r="8081" spans="1:4" ht="30">
      <c r="A8081" s="5" t="str">
        <f>HYPERLINK("https://www.oit.va.gov/Services/TRM/ToolPage.aspx?tid=16269^","Pavement-Transportation Computer Assisted Structural Engineering (PCASE)")</f>
        <v>Pavement-Transportation Computer Assisted Structural Engineering (PCASE)</v>
      </c>
      <c r="B8081" s="4" t="s">
        <v>761</v>
      </c>
      <c r="C8081" s="8" t="s">
        <v>5</v>
      </c>
      <c r="D8081" s="11" t="s">
        <v>1828</v>
      </c>
    </row>
    <row r="8082" spans="1:4" ht="30">
      <c r="A8082" s="5" t="str">
        <f>HYPERLINK("https://www.oit.va.gov/Services/TRM/ToolPage.aspx?tid=10840^","Sustainment Management System (SMS) - BUILDER")</f>
        <v>Sustainment Management System (SMS) - BUILDER</v>
      </c>
      <c r="B8082" s="4" t="s">
        <v>761</v>
      </c>
      <c r="C8082" s="8" t="s">
        <v>5</v>
      </c>
      <c r="D8082" s="11" t="s">
        <v>5541</v>
      </c>
    </row>
    <row r="8083" spans="1:4" ht="30">
      <c r="A8083" s="5" t="str">
        <f>HYPERLINK("https://www.oit.va.gov/Services/TRM/ToolPage.aspx?tid=11631^","Sustainment Management System (SMS) - ROOFER")</f>
        <v>Sustainment Management System (SMS) - ROOFER</v>
      </c>
      <c r="B8083" s="4" t="s">
        <v>761</v>
      </c>
      <c r="C8083" s="8" t="s">
        <v>5</v>
      </c>
      <c r="D8083" s="11" t="s">
        <v>5541</v>
      </c>
    </row>
    <row r="8084" spans="1:4" ht="30">
      <c r="A8084" s="5" t="str">
        <f>HYPERLINK("https://www.oit.va.gov/Services/TRM/ToolPage.aspx?tid=16578^","CASTViz")</f>
        <v>CASTViz</v>
      </c>
      <c r="B8084" s="4" t="s">
        <v>3892</v>
      </c>
      <c r="C8084" s="8" t="s">
        <v>5</v>
      </c>
      <c r="D8084" s="11" t="s">
        <v>3893</v>
      </c>
    </row>
    <row r="8085" spans="1:4" ht="30">
      <c r="A8085" s="5" t="str">
        <f>HYPERLINK("https://www.oit.va.gov/Services/TRM/ToolPage.aspx?tid=16174^","United States Monitoring (USMON) Chat")</f>
        <v>United States Monitoring (USMON) Chat</v>
      </c>
      <c r="B8085" s="4" t="s">
        <v>6132</v>
      </c>
      <c r="C8085" s="8" t="s">
        <v>5</v>
      </c>
      <c r="D8085" s="11" t="s">
        <v>6133</v>
      </c>
    </row>
    <row r="8086" spans="1:4" ht="30">
      <c r="A8086" s="5" t="str">
        <f>HYPERLINK("https://www.oit.va.gov/Services/TRM/ToolPage.aspx?tid=13773^","Mobile Credentialing Unit (MCU) Installer")</f>
        <v>Mobile Credentialing Unit (MCU) Installer</v>
      </c>
      <c r="B8086" s="4" t="s">
        <v>4441</v>
      </c>
      <c r="C8086" s="8" t="s">
        <v>5</v>
      </c>
      <c r="D8086" s="11" t="s">
        <v>4442</v>
      </c>
    </row>
    <row r="8087" spans="1:4" ht="30">
      <c r="A8087" s="5" t="str">
        <f>HYPERLINK("https://www.oit.va.gov/Services/TRM/ToolPage.aspx?tid=15862^","USB Detective")</f>
        <v>USB Detective</v>
      </c>
      <c r="B8087" s="4" t="s">
        <v>4951</v>
      </c>
      <c r="C8087" s="8" t="s">
        <v>5</v>
      </c>
      <c r="D8087" s="11" t="s">
        <v>2019</v>
      </c>
    </row>
    <row r="8088" spans="1:4" ht="30">
      <c r="A8088" s="5" t="str">
        <f>HYPERLINK("https://www.oit.va.gov/Services/TRM/ToolPage.aspx?tid=11578^","Vinylmaster")</f>
        <v>Vinylmaster</v>
      </c>
      <c r="B8088" s="4" t="s">
        <v>3066</v>
      </c>
      <c r="C8088" s="8" t="s">
        <v>5</v>
      </c>
      <c r="D8088" s="11" t="s">
        <v>3067</v>
      </c>
    </row>
    <row r="8089" spans="1:4" ht="30">
      <c r="A8089" s="5" t="str">
        <f>HYPERLINK("https://www.oit.va.gov/Services/TRM/ToolPage.aspx?tid=7936^","Frontier")</f>
        <v>Frontier</v>
      </c>
      <c r="B8089" s="4" t="s">
        <v>4158</v>
      </c>
      <c r="C8089" s="8" t="s">
        <v>5</v>
      </c>
      <c r="D8089" s="11" t="s">
        <v>4159</v>
      </c>
    </row>
    <row r="8090" spans="1:4" ht="30">
      <c r="A8090" s="5" t="str">
        <f>HYPERLINK("https://www.oit.va.gov/Services/TRM/ToolPage.aspx?tid=15858^","OpenSilver")</f>
        <v>OpenSilver</v>
      </c>
      <c r="B8090" s="4" t="s">
        <v>6969</v>
      </c>
      <c r="C8090" s="8" t="s">
        <v>5</v>
      </c>
      <c r="D8090" s="11" t="s">
        <v>6970</v>
      </c>
    </row>
    <row r="8091" spans="1:4" ht="30">
      <c r="A8091" s="5" t="str">
        <f>HYPERLINK("https://www.oit.va.gov/Services/TRM/ToolPage.aspx?tid=14416^","Unit Testing Procedural Language for Structured Query Language (utPLSQL)")</f>
        <v>Unit Testing Procedural Language for Structured Query Language (utPLSQL)</v>
      </c>
      <c r="B8091" s="4" t="s">
        <v>7271</v>
      </c>
      <c r="C8091" s="8" t="s">
        <v>5</v>
      </c>
      <c r="D8091" s="11" t="s">
        <v>2024</v>
      </c>
    </row>
    <row r="8092" spans="1:4" ht="30">
      <c r="A8092" s="5" t="str">
        <f>HYPERLINK("https://www.oit.va.gov/Services/TRM/ToolPage.aspx?tid=16182^","Tools for Windows Device Cleanup")</f>
        <v>Tools for Windows Device Cleanup</v>
      </c>
      <c r="B8092" s="4" t="s">
        <v>5553</v>
      </c>
      <c r="C8092" s="8" t="s">
        <v>5</v>
      </c>
      <c r="D8092" s="11" t="s">
        <v>5554</v>
      </c>
    </row>
    <row r="8093" spans="1:4" ht="30">
      <c r="A8093" s="5" t="str">
        <f>HYPERLINK("https://www.oit.va.gov/Services/TRM/ToolPage.aspx?tid=16372^","Verdaccio")</f>
        <v>Verdaccio</v>
      </c>
      <c r="B8093" s="4" t="s">
        <v>4957</v>
      </c>
      <c r="C8093" s="8" t="s">
        <v>5</v>
      </c>
      <c r="D8093" s="11" t="s">
        <v>4958</v>
      </c>
    </row>
    <row r="8094" spans="1:4" ht="30">
      <c r="A8094" s="5" t="str">
        <f>HYPERLINK("https://www.oit.va.gov/Services/TRM/ToolPage.aspx?tid=11523^","v5 Real Time Streaming Protocol (rtsp) plugin")</f>
        <v>v5 Real Time Streaming Protocol (rtsp) plugin</v>
      </c>
      <c r="B8094" s="4" t="s">
        <v>4957</v>
      </c>
      <c r="C8094" s="8" t="s">
        <v>5</v>
      </c>
      <c r="D8094" s="11" t="s">
        <v>7280</v>
      </c>
    </row>
    <row r="8095" spans="1:4" ht="30">
      <c r="A8095" s="5" t="str">
        <f>HYPERLINK("https://www.oit.va.gov/Services/TRM/ToolPage.aspx?tid=10676^","Nutrition and Food Services Annual Report (NFSAR)")</f>
        <v>Nutrition and Food Services Annual Report (NFSAR)</v>
      </c>
      <c r="B8095" s="4" t="s">
        <v>8348</v>
      </c>
      <c r="C8095" s="8" t="s">
        <v>5</v>
      </c>
      <c r="D8095" s="11" t="s">
        <v>1249</v>
      </c>
    </row>
    <row r="8096" spans="1:4" ht="30">
      <c r="A8096" s="5" t="str">
        <f>HYPERLINK("https://www.oit.va.gov/Services/TRM/ToolPage.aspx?tid=8338^","Veterans Health Information Systems and Technology Architecture (VistA) Integration Adapter (VIA)")</f>
        <v>Veterans Health Information Systems and Technology Architecture (VistA) Integration Adapter (VIA)</v>
      </c>
      <c r="B8096" s="4" t="s">
        <v>4965</v>
      </c>
      <c r="C8096" s="8" t="s">
        <v>5</v>
      </c>
      <c r="D8096" s="11" t="s">
        <v>209</v>
      </c>
    </row>
    <row r="8097" spans="1:4" ht="30">
      <c r="A8097" s="5" t="str">
        <f>HYPERLINK("https://www.oit.va.gov/Services/TRM/ToolPage.aspx?tid=7227^","GenISIS Participant Recruitment and Enrollment (PRE)")</f>
        <v>GenISIS Participant Recruitment and Enrollment (PRE)</v>
      </c>
      <c r="B8097" s="4" t="s">
        <v>4965</v>
      </c>
      <c r="C8097" s="8" t="s">
        <v>5</v>
      </c>
      <c r="D8097" s="11" t="s">
        <v>5823</v>
      </c>
    </row>
    <row r="8098" spans="1:4" ht="30">
      <c r="A8098" s="5" t="str">
        <f>HYPERLINK("https://www.oit.va.gov/Services/TRM/ToolPage.aspx?tid=7242^","Medical Domain Web Services (MDWS)")</f>
        <v>Medical Domain Web Services (MDWS)</v>
      </c>
      <c r="B8098" s="4" t="s">
        <v>4965</v>
      </c>
      <c r="C8098" s="8" t="s">
        <v>5</v>
      </c>
      <c r="D8098" s="11" t="s">
        <v>6845</v>
      </c>
    </row>
    <row r="8099" spans="1:4" ht="30">
      <c r="A8099" s="5" t="str">
        <f>HYPERLINK("https://www.oit.va.gov/Services/TRM/ToolPage.aspx?tid=15234^","viewLinc Enterprise Server")</f>
        <v>viewLinc Enterprise Server</v>
      </c>
      <c r="B8099" s="4" t="s">
        <v>4967</v>
      </c>
      <c r="C8099" s="8" t="s">
        <v>5</v>
      </c>
      <c r="D8099" s="11" t="s">
        <v>4968</v>
      </c>
    </row>
    <row r="8100" spans="1:4" ht="30">
      <c r="A8100" s="5" t="str">
        <f>HYPERLINK("https://www.oit.va.gov/Services/TRM/ToolPage.aspx?tid=16682^","Secure Print @ Home")</f>
        <v>Secure Print @ Home</v>
      </c>
      <c r="B8100" s="4" t="s">
        <v>8610</v>
      </c>
      <c r="C8100" s="8" t="s">
        <v>5</v>
      </c>
      <c r="D8100" s="11" t="s">
        <v>8611</v>
      </c>
    </row>
    <row r="8101" spans="1:4" ht="30">
      <c r="A8101" s="5" t="str">
        <f>HYPERLINK("https://www.oit.va.gov/Services/TRM/ToolPage.aspx?tid=15477^","Valcom Internet Protocol (VIP-102B) Setup Tool")</f>
        <v>Valcom Internet Protocol (VIP-102B) Setup Tool</v>
      </c>
      <c r="B8101" s="4" t="s">
        <v>3601</v>
      </c>
      <c r="C8101" s="8" t="s">
        <v>5</v>
      </c>
      <c r="D8101" s="11" t="s">
        <v>3602</v>
      </c>
    </row>
    <row r="8102" spans="1:4" ht="30">
      <c r="A8102" s="5" t="str">
        <f>HYPERLINK("https://www.oit.va.gov/Services/TRM/ToolPage.aspx?tid=9936^","Mongoose")</f>
        <v>Mongoose</v>
      </c>
      <c r="B8102" s="4" t="s">
        <v>1052</v>
      </c>
      <c r="C8102" s="8" t="s">
        <v>5</v>
      </c>
      <c r="D8102" s="11" t="s">
        <v>1053</v>
      </c>
    </row>
    <row r="8103" spans="1:4" ht="30">
      <c r="A8103" s="5" t="str">
        <f>HYPERLINK("https://www.oit.va.gov/Services/TRM/ToolPage.aspx?tid=14523^","DemandTools")</f>
        <v>DemandTools</v>
      </c>
      <c r="B8103" s="4" t="s">
        <v>5136</v>
      </c>
      <c r="C8103" s="8" t="s">
        <v>5</v>
      </c>
      <c r="D8103" s="11" t="s">
        <v>3677</v>
      </c>
    </row>
    <row r="8104" spans="1:4" ht="30">
      <c r="A8104" s="5" t="str">
        <f>HYPERLINK("https://www.oit.va.gov/Services/TRM/ToolPage.aspx?tid=15886^","Access Bot")</f>
        <v>Access Bot</v>
      </c>
      <c r="B8104" s="4" t="s">
        <v>2347</v>
      </c>
      <c r="C8104" s="8" t="s">
        <v>5</v>
      </c>
      <c r="D8104" s="11" t="s">
        <v>2348</v>
      </c>
    </row>
    <row r="8105" spans="1:4" ht="30">
      <c r="A8105" s="5" t="str">
        <f>HYPERLINK("https://www.oit.va.gov/Services/TRM/ToolPage.aspx?tid=15624^","Steam Gaming Platform")</f>
        <v>Steam Gaming Platform</v>
      </c>
      <c r="B8105" s="4" t="s">
        <v>8730</v>
      </c>
      <c r="C8105" s="8" t="s">
        <v>5</v>
      </c>
      <c r="D8105" s="11" t="s">
        <v>8731</v>
      </c>
    </row>
    <row r="8106" spans="1:4" ht="30">
      <c r="A8106" s="5" t="str">
        <f>HYPERLINK("https://www.oit.va.gov/Services/TRM/ToolPage.aspx?tid=6453^","Research Electronic Data Capture (REDCap)")</f>
        <v>Research Electronic Data Capture (REDCap)</v>
      </c>
      <c r="B8106" s="4" t="s">
        <v>4735</v>
      </c>
      <c r="C8106" s="8" t="s">
        <v>5</v>
      </c>
      <c r="D8106" s="11" t="s">
        <v>4736</v>
      </c>
    </row>
    <row r="8107" spans="1:4" ht="30">
      <c r="A8107" s="5" t="str">
        <f>HYPERLINK("https://www.oit.va.gov/Services/TRM/ToolPage.aspx?tid=11454^","PS: Power and Sample Size Calculation")</f>
        <v>PS: Power and Sample Size Calculation</v>
      </c>
      <c r="B8107" s="4" t="s">
        <v>6207</v>
      </c>
      <c r="C8107" s="8" t="s">
        <v>5</v>
      </c>
      <c r="D8107" s="11" t="s">
        <v>4555</v>
      </c>
    </row>
    <row r="8108" spans="1:4" ht="30">
      <c r="A8108" s="5" t="str">
        <f>HYPERLINK("https://www.oit.va.gov/Services/TRM/ToolPage.aspx?tid=5717^","Secure Computer Remote Terminal (CRT)")</f>
        <v>Secure Computer Remote Terminal (CRT)</v>
      </c>
      <c r="B8108" s="4" t="s">
        <v>2942</v>
      </c>
      <c r="C8108" s="8" t="s">
        <v>5</v>
      </c>
      <c r="D8108" s="11" t="s">
        <v>934</v>
      </c>
    </row>
    <row r="8109" spans="1:4" ht="30">
      <c r="A8109" s="5" t="str">
        <f>HYPERLINK("https://www.oit.va.gov/Services/TRM/ToolPage.aspx?tid=15461^","Secure File Transfer (SecureFX)")</f>
        <v>Secure File Transfer (SecureFX)</v>
      </c>
      <c r="B8109" s="4" t="s">
        <v>2942</v>
      </c>
      <c r="C8109" s="8" t="s">
        <v>5</v>
      </c>
      <c r="D8109" s="11" t="s">
        <v>1945</v>
      </c>
    </row>
    <row r="8110" spans="1:4" ht="30">
      <c r="A8110" s="5" t="str">
        <f>HYPERLINK("https://www.oit.va.gov/Services/TRM/ToolPage.aspx?tid=8093^","VShell Server")</f>
        <v>VShell Server</v>
      </c>
      <c r="B8110" s="4" t="s">
        <v>2942</v>
      </c>
      <c r="C8110" s="8" t="s">
        <v>5</v>
      </c>
      <c r="D8110" s="11" t="s">
        <v>4984</v>
      </c>
    </row>
    <row r="8111" spans="1:4" ht="30">
      <c r="A8111" s="5" t="str">
        <f>HYPERLINK("https://www.oit.va.gov/Services/TRM/ToolPage.aspx?tid=7040^","Aria Oncology Information System (OIS)")</f>
        <v>Aria Oncology Information System (OIS)</v>
      </c>
      <c r="B8111" s="4" t="s">
        <v>1312</v>
      </c>
      <c r="C8111" s="8" t="s">
        <v>5</v>
      </c>
      <c r="D8111" s="11" t="s">
        <v>1313</v>
      </c>
    </row>
    <row r="8112" spans="1:4" ht="30">
      <c r="A8112" s="5" t="str">
        <f>HYPERLINK("https://www.oit.va.gov/Services/TRM/ToolPage.aspx?tid=15972^","Velocity Oncology Imaging Informatics System")</f>
        <v>Velocity Oncology Imaging Informatics System</v>
      </c>
      <c r="B8112" s="4" t="s">
        <v>1312</v>
      </c>
      <c r="C8112" s="8" t="s">
        <v>5</v>
      </c>
      <c r="D8112" s="11" t="s">
        <v>623</v>
      </c>
    </row>
    <row r="8113" spans="1:4" ht="30">
      <c r="A8113" s="5" t="str">
        <f>HYPERLINK("https://www.oit.va.gov/Services/TRM/ToolPage.aspx?tid=10101^","VARIDESK Standing Desk Companion Application")</f>
        <v>VARIDESK Standing Desk Companion Application</v>
      </c>
      <c r="B8113" s="4" t="s">
        <v>8861</v>
      </c>
      <c r="C8113" s="8" t="s">
        <v>5</v>
      </c>
      <c r="D8113" s="11" t="s">
        <v>5023</v>
      </c>
    </row>
    <row r="8114" spans="1:4" ht="30">
      <c r="A8114" s="5" t="str">
        <f>HYPERLINK("https://www.oit.va.gov/Services/TRM/ToolPage.aspx?tid=7438^","Variphy Insight Enterprise Edition")</f>
        <v>Variphy Insight Enterprise Edition</v>
      </c>
      <c r="B8114" s="4" t="s">
        <v>4952</v>
      </c>
      <c r="C8114" s="8" t="s">
        <v>5</v>
      </c>
      <c r="D8114" s="11" t="s">
        <v>4181</v>
      </c>
    </row>
    <row r="8115" spans="1:4" ht="30">
      <c r="A8115" s="5" t="str">
        <f>HYPERLINK("https://www.oit.va.gov/Services/TRM/ToolPage.aspx?tid=8124^","Varnish Cache")</f>
        <v>Varnish Cache</v>
      </c>
      <c r="B8115" s="4" t="s">
        <v>7282</v>
      </c>
      <c r="C8115" s="8" t="s">
        <v>5</v>
      </c>
      <c r="D8115" s="11" t="s">
        <v>2334</v>
      </c>
    </row>
    <row r="8116" spans="1:4" ht="30">
      <c r="A8116" s="5" t="str">
        <f>HYPERLINK("https://www.oit.va.gov/Services/TRM/ToolPage.aspx?tid=11142^","e-Sign Desktop")</f>
        <v>e-Sign Desktop</v>
      </c>
      <c r="B8116" s="4" t="s">
        <v>7873</v>
      </c>
      <c r="C8116" s="8" t="s">
        <v>5</v>
      </c>
      <c r="D8116" s="11" t="s">
        <v>3207</v>
      </c>
    </row>
    <row r="8117" spans="1:4" ht="30">
      <c r="A8117" s="5" t="str">
        <f>HYPERLINK("https://www.oit.va.gov/Services/TRM/ToolPage.aspx?tid=15688^","Voicemeeter")</f>
        <v>Voicemeeter</v>
      </c>
      <c r="B8117" s="4" t="s">
        <v>3080</v>
      </c>
      <c r="C8117" s="8" t="s">
        <v>5</v>
      </c>
      <c r="D8117" s="11" t="s">
        <v>760</v>
      </c>
    </row>
    <row r="8118" spans="1:4" ht="30">
      <c r="A8118" s="5" t="str">
        <f>HYPERLINK("https://www.oit.va.gov/Services/TRM/ToolPage.aspx?tid=14091^","Vbrick Rev")</f>
        <v>Vbrick Rev</v>
      </c>
      <c r="B8118" s="4" t="s">
        <v>3603</v>
      </c>
      <c r="C8118" s="8" t="s">
        <v>5</v>
      </c>
      <c r="D8118" s="11" t="s">
        <v>3604</v>
      </c>
    </row>
    <row r="8119" spans="1:4" ht="30">
      <c r="A8119" s="5" t="str">
        <f>HYPERLINK("https://www.oit.va.gov/Services/TRM/ToolPage.aspx?tid=14068^","VBrick Distributed Media Engine (DME)")</f>
        <v>VBrick Distributed Media Engine (DME)</v>
      </c>
      <c r="B8119" s="4" t="s">
        <v>3603</v>
      </c>
      <c r="C8119" s="8" t="s">
        <v>5</v>
      </c>
      <c r="D8119" s="11" t="s">
        <v>336</v>
      </c>
    </row>
    <row r="8120" spans="1:4" ht="30">
      <c r="A8120" s="5" t="str">
        <f>HYPERLINK("https://www.oit.va.gov/Services/TRM/ToolPage.aspx?tid=10881^","Variant Call Format (VCF) Tools")</f>
        <v>Variant Call Format (VCF) Tools</v>
      </c>
      <c r="B8120" s="4" t="s">
        <v>5568</v>
      </c>
      <c r="C8120" s="8" t="s">
        <v>5</v>
      </c>
      <c r="D8120" s="11" t="s">
        <v>5569</v>
      </c>
    </row>
    <row r="8121" spans="1:4" ht="30">
      <c r="A8121" s="5" t="str">
        <f>HYPERLINK("https://www.oit.va.gov/Services/TRM/ToolPage.aspx?tid=6569^","Vecna VA Patient Self Service Solution")</f>
        <v>Vecna VA Patient Self Service Solution</v>
      </c>
      <c r="B8121" s="4" t="s">
        <v>3058</v>
      </c>
      <c r="C8121" s="8" t="s">
        <v>5</v>
      </c>
      <c r="D8121" s="11" t="s">
        <v>3059</v>
      </c>
    </row>
    <row r="8122" spans="1:4" ht="30">
      <c r="A8122" s="5" t="str">
        <f>HYPERLINK("https://www.oit.va.gov/Services/TRM/ToolPage.aspx?tid=6095^","PC-Duo")</f>
        <v>PC-Duo</v>
      </c>
      <c r="B8122" s="4" t="s">
        <v>2166</v>
      </c>
      <c r="C8122" s="8" t="s">
        <v>5</v>
      </c>
      <c r="D8122" s="11" t="s">
        <v>2167</v>
      </c>
    </row>
    <row r="8123" spans="1:4" ht="30">
      <c r="A8123" s="5" t="str">
        <f>HYPERLINK("https://www.oit.va.gov/Services/TRM/ToolPage.aspx?tid=7812^","Item Response Theory for Patient-Reported Outcomes (IRTPRO)")</f>
        <v>Item Response Theory for Patient-Reported Outcomes (IRTPRO)</v>
      </c>
      <c r="B8123" s="4" t="s">
        <v>8109</v>
      </c>
      <c r="C8123" s="8" t="s">
        <v>5</v>
      </c>
      <c r="D8123" s="11" t="s">
        <v>6376</v>
      </c>
    </row>
    <row r="8124" spans="1:4" ht="30">
      <c r="A8124" s="5" t="str">
        <f>HYPERLINK("https://www.oit.va.gov/Services/TRM/ToolPage.aspx?tid=11540^","VCarve")</f>
        <v>VCarve</v>
      </c>
      <c r="B8124" s="4" t="s">
        <v>3056</v>
      </c>
      <c r="C8124" s="8" t="s">
        <v>5</v>
      </c>
      <c r="D8124" s="11" t="s">
        <v>3057</v>
      </c>
    </row>
    <row r="8125" spans="1:4" ht="30">
      <c r="A8125" s="5" t="str">
        <f>HYPERLINK("https://www.oit.va.gov/Services/TRM/ToolPage.aspx?tid=6621^","Veeam Backup &amp; Replication")</f>
        <v>Veeam Backup &amp; Replication</v>
      </c>
      <c r="B8125" s="4" t="s">
        <v>889</v>
      </c>
      <c r="C8125" s="8" t="s">
        <v>5</v>
      </c>
      <c r="D8125" s="11" t="s">
        <v>890</v>
      </c>
    </row>
    <row r="8126" spans="1:4" ht="30">
      <c r="A8126" s="5" t="str">
        <f>HYPERLINK("https://www.oit.va.gov/Services/TRM/ToolPage.aspx?tid=16094^","Vega")</f>
        <v>Vega</v>
      </c>
      <c r="B8126" s="4" t="s">
        <v>3606</v>
      </c>
      <c r="C8126" s="8" t="s">
        <v>5</v>
      </c>
      <c r="D8126" s="11" t="s">
        <v>3607</v>
      </c>
    </row>
    <row r="8127" spans="1:4" ht="30">
      <c r="A8127" s="5" t="str">
        <f>HYPERLINK("https://www.oit.va.gov/Services/TRM/ToolPage.aspx?tid=14931^","Velocity Performance Suite (zVPS)")</f>
        <v>Velocity Performance Suite (zVPS)</v>
      </c>
      <c r="B8127" s="4" t="s">
        <v>2025</v>
      </c>
      <c r="C8127" s="8" t="s">
        <v>5</v>
      </c>
      <c r="D8127" s="11" t="s">
        <v>2026</v>
      </c>
    </row>
    <row r="8128" spans="1:4" ht="30">
      <c r="A8128" s="5" t="str">
        <f>HYPERLINK("https://www.oit.va.gov/Services/TRM/ToolPage.aspx?tid=14963^","zPRO")</f>
        <v>zPRO</v>
      </c>
      <c r="B8128" s="4" t="s">
        <v>2025</v>
      </c>
      <c r="C8128" s="8" t="s">
        <v>5</v>
      </c>
      <c r="D8128" s="11" t="s">
        <v>6176</v>
      </c>
    </row>
    <row r="8129" spans="1:4" ht="30">
      <c r="A8129" s="5" t="str">
        <f>HYPERLINK("https://www.oit.va.gov/Services/TRM/ToolPage.aspx?tid=14881^","zTUNE - Performance Services Subscription")</f>
        <v>zTUNE - Performance Services Subscription</v>
      </c>
      <c r="B8129" s="4" t="s">
        <v>2025</v>
      </c>
      <c r="C8129" s="8" t="s">
        <v>5</v>
      </c>
      <c r="D8129" s="11" t="s">
        <v>347</v>
      </c>
    </row>
    <row r="8130" spans="1:4" ht="30">
      <c r="A8130" s="5" t="str">
        <f>HYPERLINK("https://www.oit.va.gov/Services/TRM/ToolPage.aspx?tid=9054^","VANTAGE Workflow Solution")</f>
        <v>VANTAGE Workflow Solution</v>
      </c>
      <c r="B8130" s="4" t="s">
        <v>5566</v>
      </c>
      <c r="C8130" s="8" t="s">
        <v>5</v>
      </c>
      <c r="D8130" s="11" t="s">
        <v>5567</v>
      </c>
    </row>
    <row r="8131" spans="1:4" ht="30">
      <c r="A8131" s="5" t="str">
        <f>HYPERLINK("https://www.oit.va.gov/Services/TRM/ToolPage.aspx?tid=9036^","Vensim")</f>
        <v>Vensim</v>
      </c>
      <c r="B8131" s="4" t="s">
        <v>118</v>
      </c>
      <c r="C8131" s="8" t="s">
        <v>5</v>
      </c>
      <c r="D8131" s="11" t="s">
        <v>119</v>
      </c>
    </row>
    <row r="8132" spans="1:4" ht="30">
      <c r="A8132" s="5" t="str">
        <f>HYPERLINK("https://www.oit.va.gov/Services/TRM/ToolPage.aspx?tid=9340^","VersaTrak")</f>
        <v>VersaTrak</v>
      </c>
      <c r="B8132" s="4" t="s">
        <v>2029</v>
      </c>
      <c r="C8132" s="8" t="s">
        <v>5</v>
      </c>
      <c r="D8132" s="11" t="s">
        <v>353</v>
      </c>
    </row>
    <row r="8133" spans="1:4" ht="30">
      <c r="A8133" s="5" t="str">
        <f>HYPERLINK("https://www.oit.va.gov/Services/TRM/ToolPage.aspx?tid=14245^","QuickPrint for ScanPoint Image Management Technology")</f>
        <v>QuickPrint for ScanPoint Image Management Technology</v>
      </c>
      <c r="B8133" s="4" t="s">
        <v>1883</v>
      </c>
      <c r="C8133" s="8" t="s">
        <v>5</v>
      </c>
      <c r="D8133" s="11" t="s">
        <v>641</v>
      </c>
    </row>
    <row r="8134" spans="1:4" ht="30">
      <c r="A8134" s="5" t="str">
        <f>HYPERLINK("https://www.oit.va.gov/Services/TRM/ToolPage.aspx?tid=13159^","Veratics ENGAGE")</f>
        <v>Veratics ENGAGE</v>
      </c>
      <c r="B8134" s="4" t="s">
        <v>8867</v>
      </c>
      <c r="C8134" s="8" t="s">
        <v>5</v>
      </c>
      <c r="D8134" s="11" t="s">
        <v>1077</v>
      </c>
    </row>
    <row r="8135" spans="1:4" ht="30">
      <c r="A8135" s="5" t="str">
        <f>HYPERLINK("https://www.oit.va.gov/Services/TRM/ToolPage.aspx?tid=7504^","MAXQDA (Qualitative Data Analysis)")</f>
        <v>MAXQDA (Qualitative Data Analysis)</v>
      </c>
      <c r="B8135" s="4" t="s">
        <v>754</v>
      </c>
      <c r="C8135" s="8" t="s">
        <v>5</v>
      </c>
      <c r="D8135" s="11" t="s">
        <v>755</v>
      </c>
    </row>
    <row r="8136" spans="1:4" ht="30">
      <c r="A8136" s="5" t="str">
        <f>HYPERLINK("https://www.oit.va.gov/Services/TRM/ToolPage.aspx?tid=16563^","Verifone Unified Drivers")</f>
        <v>Verifone Unified Drivers</v>
      </c>
      <c r="B8136" s="4" t="s">
        <v>6138</v>
      </c>
      <c r="C8136" s="8" t="s">
        <v>5</v>
      </c>
      <c r="D8136" s="11" t="s">
        <v>1816</v>
      </c>
    </row>
    <row r="8137" spans="1:4" ht="30">
      <c r="A8137" s="5" t="str">
        <f>HYPERLINK("https://www.oit.va.gov/Services/TRM/ToolPage.aspx?tid=15020^","Verint Public Safety Recording")</f>
        <v>Verint Public Safety Recording</v>
      </c>
      <c r="B8137" s="4" t="s">
        <v>4959</v>
      </c>
      <c r="C8137" s="8" t="s">
        <v>5</v>
      </c>
      <c r="D8137" s="11" t="s">
        <v>4960</v>
      </c>
    </row>
    <row r="8138" spans="1:4" ht="30">
      <c r="A8138" s="5" t="str">
        <f>HYPERLINK("https://www.oit.va.gov/Services/TRM/ToolPage.aspx?tid=7571^","Application Visualizer")</f>
        <v>Application Visualizer</v>
      </c>
      <c r="B8138" s="4" t="s">
        <v>4959</v>
      </c>
      <c r="C8138" s="8" t="s">
        <v>5</v>
      </c>
      <c r="D8138" s="11" t="s">
        <v>4851</v>
      </c>
    </row>
    <row r="8139" spans="1:4" ht="30">
      <c r="A8139" s="5" t="str">
        <f>HYPERLINK("https://www.oit.va.gov/Services/TRM/ToolPage.aspx?tid=7638^","Impact 360 Call Recording")</f>
        <v>Impact 360 Call Recording</v>
      </c>
      <c r="B8139" s="4" t="s">
        <v>4959</v>
      </c>
      <c r="C8139" s="8" t="s">
        <v>5</v>
      </c>
      <c r="D8139" s="11" t="s">
        <v>1113</v>
      </c>
    </row>
    <row r="8140" spans="1:4" ht="30">
      <c r="A8140" s="5" t="str">
        <f>HYPERLINK("https://www.oit.va.gov/Services/TRM/ToolPage.aspx?tid=9844^","Verint Enterprise Feedback Management (EFM)")</f>
        <v>Verint Enterprise Feedback Management (EFM)</v>
      </c>
      <c r="B8140" s="4" t="s">
        <v>4959</v>
      </c>
      <c r="C8140" s="8" t="s">
        <v>5</v>
      </c>
      <c r="D8140" s="11" t="s">
        <v>3903</v>
      </c>
    </row>
    <row r="8141" spans="1:4" ht="30">
      <c r="A8141" s="5" t="str">
        <f>HYPERLINK("https://www.oit.va.gov/Services/TRM/ToolPage.aspx?tid=7572^","Experience Management")</f>
        <v>Experience Management</v>
      </c>
      <c r="B8141" s="4" t="s">
        <v>4959</v>
      </c>
      <c r="C8141" s="8" t="s">
        <v>5</v>
      </c>
      <c r="D8141" s="11" t="s">
        <v>7890</v>
      </c>
    </row>
    <row r="8142" spans="1:4" ht="30">
      <c r="A8142" s="5" t="str">
        <f>HYPERLINK("https://www.oit.va.gov/Services/TRM/ToolPage.aspx?tid=7573^","Impact 360 Speech Analytics")</f>
        <v>Impact 360 Speech Analytics</v>
      </c>
      <c r="B8142" s="4" t="s">
        <v>4959</v>
      </c>
      <c r="C8142" s="8" t="s">
        <v>5</v>
      </c>
      <c r="D8142" s="11" t="s">
        <v>8069</v>
      </c>
    </row>
    <row r="8143" spans="1:4" ht="30">
      <c r="A8143" s="5" t="str">
        <f>HYPERLINK("https://www.oit.va.gov/Services/TRM/ToolPage.aspx?tid=5449^","Veritas InfoScale Storage")</f>
        <v>Veritas InfoScale Storage</v>
      </c>
      <c r="B8143" s="4" t="s">
        <v>891</v>
      </c>
      <c r="C8143" s="8" t="s">
        <v>5</v>
      </c>
      <c r="D8143" s="11" t="s">
        <v>892</v>
      </c>
    </row>
    <row r="8144" spans="1:4" ht="30">
      <c r="A8144" s="5" t="str">
        <f>HYPERLINK("https://www.oit.va.gov/Services/TRM/ToolPage.aspx?tid=6499^","Backup Exec")</f>
        <v>Backup Exec</v>
      </c>
      <c r="B8144" s="4" t="s">
        <v>891</v>
      </c>
      <c r="C8144" s="8" t="s">
        <v>5</v>
      </c>
      <c r="D8144" s="11" t="s">
        <v>1348</v>
      </c>
    </row>
    <row r="8145" spans="1:4" ht="30">
      <c r="A8145" s="5" t="str">
        <f>HYPERLINK("https://www.oit.va.gov/Services/TRM/ToolPage.aspx?tid=13080^","Veritas Information Studio")</f>
        <v>Veritas Information Studio</v>
      </c>
      <c r="B8145" s="4" t="s">
        <v>891</v>
      </c>
      <c r="C8145" s="8" t="s">
        <v>5</v>
      </c>
      <c r="D8145" s="11" t="s">
        <v>2027</v>
      </c>
    </row>
    <row r="8146" spans="1:4" ht="30">
      <c r="A8146" s="5" t="str">
        <f>HYPERLINK("https://www.oit.va.gov/Services/TRM/ToolPage.aspx?tid=13235^","Veritas NetBackup OpsCenter")</f>
        <v>Veritas NetBackup OpsCenter</v>
      </c>
      <c r="B8146" s="4" t="s">
        <v>891</v>
      </c>
      <c r="C8146" s="8" t="s">
        <v>5</v>
      </c>
      <c r="D8146" s="11" t="s">
        <v>2028</v>
      </c>
    </row>
    <row r="8147" spans="1:4" ht="30">
      <c r="A8147" s="5" t="str">
        <f>HYPERLINK("https://www.oit.va.gov/Services/TRM/ToolPage.aspx?tid=12885^","Veritas InfoScale Operations Manager")</f>
        <v>Veritas InfoScale Operations Manager</v>
      </c>
      <c r="B8147" s="4" t="s">
        <v>891</v>
      </c>
      <c r="C8147" s="8" t="s">
        <v>5</v>
      </c>
      <c r="D8147" s="11" t="s">
        <v>4961</v>
      </c>
    </row>
    <row r="8148" spans="1:4" ht="30">
      <c r="A8148" s="5" t="str">
        <f>HYPERLINK("https://www.oit.va.gov/Services/TRM/ToolPage.aspx?tid=5455^","Veritas NetBackup")</f>
        <v>Veritas NetBackup</v>
      </c>
      <c r="B8148" s="4" t="s">
        <v>891</v>
      </c>
      <c r="C8148" s="8" t="s">
        <v>5</v>
      </c>
      <c r="D8148" s="11" t="s">
        <v>4962</v>
      </c>
    </row>
    <row r="8149" spans="1:4" ht="30">
      <c r="A8149" s="5" t="str">
        <f>HYPERLINK("https://www.oit.va.gov/Services/TRM/ToolPage.aspx?tid=10773^","Desktop and Laptop Option")</f>
        <v>Desktop and Laptop Option</v>
      </c>
      <c r="B8149" s="4" t="s">
        <v>891</v>
      </c>
      <c r="C8149" s="8" t="s">
        <v>5</v>
      </c>
      <c r="D8149" s="11" t="s">
        <v>2625</v>
      </c>
    </row>
    <row r="8150" spans="1:4" ht="30">
      <c r="A8150" s="5" t="str">
        <f>HYPERLINK("https://www.oit.va.gov/Services/TRM/ToolPage.aspx?tid=13015^","Enterprise Administrator Service")</f>
        <v>Enterprise Administrator Service</v>
      </c>
      <c r="B8150" s="4" t="s">
        <v>891</v>
      </c>
      <c r="C8150" s="8" t="s">
        <v>5</v>
      </c>
      <c r="D8150" s="11" t="s">
        <v>6482</v>
      </c>
    </row>
    <row r="8151" spans="1:4" ht="30">
      <c r="A8151" s="5" t="str">
        <f>HYPERLINK("https://www.oit.va.gov/Services/TRM/ToolPage.aspx?tid=6535^","InfoScale Availability")</f>
        <v>InfoScale Availability</v>
      </c>
      <c r="B8151" s="4" t="s">
        <v>891</v>
      </c>
      <c r="C8151" s="8" t="s">
        <v>5</v>
      </c>
      <c r="D8151" s="11" t="s">
        <v>4263</v>
      </c>
    </row>
    <row r="8152" spans="1:4" ht="30">
      <c r="A8152" s="5" t="str">
        <f>HYPERLINK("https://www.oit.va.gov/Services/TRM/ToolPage.aspx?tid=13244^","Group Membership and Atomic Broadcast (GAB)")</f>
        <v>Group Membership and Atomic Broadcast (GAB)</v>
      </c>
      <c r="B8152" s="4" t="s">
        <v>891</v>
      </c>
      <c r="C8152" s="8" t="s">
        <v>5</v>
      </c>
      <c r="D8152" s="11" t="s">
        <v>6302</v>
      </c>
    </row>
    <row r="8153" spans="1:4" ht="30">
      <c r="A8153" s="5" t="str">
        <f>HYPERLINK("https://www.oit.va.gov/Services/TRM/ToolPage.aspx?tid=6494^","Veritas Volume Manager (VxVM)")</f>
        <v>Veritas Volume Manager (VxVM)</v>
      </c>
      <c r="B8153" s="4" t="s">
        <v>891</v>
      </c>
      <c r="C8153" s="8" t="s">
        <v>5</v>
      </c>
      <c r="D8153" s="11" t="s">
        <v>7290</v>
      </c>
    </row>
    <row r="8154" spans="1:4" ht="30">
      <c r="A8154" s="5" t="str">
        <f>HYPERLINK("https://www.oit.va.gov/Services/TRM/ToolPage.aspx?tid=6570^","WinList")</f>
        <v>WinList</v>
      </c>
      <c r="B8154" s="4" t="s">
        <v>6165</v>
      </c>
      <c r="C8154" s="8" t="s">
        <v>5</v>
      </c>
      <c r="D8154" s="11" t="s">
        <v>2136</v>
      </c>
    </row>
    <row r="8155" spans="1:4" ht="30">
      <c r="A8155" s="5" t="str">
        <f>HYPERLINK("https://www.oit.va.gov/Services/TRM/ToolPage.aspx?tid=15055^","BlueJeans Desktop Application")</f>
        <v>BlueJeans Desktop Application</v>
      </c>
      <c r="B8155" s="4" t="s">
        <v>6352</v>
      </c>
      <c r="C8155" s="8" t="s">
        <v>5</v>
      </c>
      <c r="D8155" s="11" t="s">
        <v>6353</v>
      </c>
    </row>
    <row r="8156" spans="1:4" ht="30">
      <c r="A8156" s="5" t="str">
        <f>HYPERLINK("https://www.oit.va.gov/Services/TRM/ToolPage.aspx?tid=5757^","VZAccess Manager")</f>
        <v>VZAccess Manager</v>
      </c>
      <c r="B8156" s="4" t="s">
        <v>6352</v>
      </c>
      <c r="C8156" s="8" t="s">
        <v>5</v>
      </c>
      <c r="D8156" s="11" t="s">
        <v>7593</v>
      </c>
    </row>
    <row r="8157" spans="1:4" ht="30">
      <c r="A8157" s="5" t="str">
        <f>HYPERLINK("https://www.oit.va.gov/Services/TRM/ToolPage.aspx?tid=6847^","VersionOne LifeCycle")</f>
        <v>VersionOne LifeCycle</v>
      </c>
      <c r="B8157" s="4" t="s">
        <v>3611</v>
      </c>
      <c r="C8157" s="8" t="s">
        <v>5</v>
      </c>
      <c r="D8157" s="11" t="s">
        <v>3612</v>
      </c>
    </row>
    <row r="8158" spans="1:4" ht="30">
      <c r="A8158" s="5" t="str">
        <f>HYPERLINK("https://www.oit.va.gov/Services/TRM/ToolPage.aspx?tid=7345^","Speckie")</f>
        <v>Speckie</v>
      </c>
      <c r="B8158" s="4" t="s">
        <v>7164</v>
      </c>
      <c r="C8158" s="8" t="s">
        <v>5</v>
      </c>
      <c r="D8158" s="11" t="s">
        <v>7165</v>
      </c>
    </row>
    <row r="8159" spans="1:4" ht="30">
      <c r="A8159" s="5" t="str">
        <f>HYPERLINK("https://www.oit.va.gov/Services/TRM/ToolPage.aspx?tid=9338^","V-Direct")</f>
        <v>V-Direct</v>
      </c>
      <c r="B8159" s="4" t="s">
        <v>3605</v>
      </c>
      <c r="C8159" s="8" t="s">
        <v>5</v>
      </c>
      <c r="D8159" s="11" t="s">
        <v>3599</v>
      </c>
    </row>
    <row r="8160" spans="1:4" ht="30">
      <c r="A8160" s="5" t="str">
        <f>HYPERLINK("https://www.oit.va.gov/Services/TRM/ToolPage.aspx?tid=15193^","VA App Connect (VAAppConnect)")</f>
        <v>VA App Connect (VAAppConnect)</v>
      </c>
      <c r="B8160" s="4" t="s">
        <v>6135</v>
      </c>
      <c r="C8160" s="8" t="s">
        <v>5</v>
      </c>
      <c r="D8160" s="11" t="s">
        <v>140</v>
      </c>
    </row>
    <row r="8161" spans="1:4" ht="30">
      <c r="A8161" s="5" t="str">
        <f>HYPERLINK("https://www.oit.va.gov/Services/TRM/ToolPage.aspx?tid=16283^","Vertiv Environet Alert")</f>
        <v>Vertiv Environet Alert</v>
      </c>
      <c r="B8161" s="4" t="s">
        <v>2030</v>
      </c>
      <c r="C8161" s="8" t="s">
        <v>5</v>
      </c>
      <c r="D8161" s="11" t="s">
        <v>2031</v>
      </c>
    </row>
    <row r="8162" spans="1:4" ht="30">
      <c r="A8162" s="5" t="str">
        <f>HYPERLINK("https://www.oit.va.gov/Services/TRM/ToolPage.aspx?tid=14804^","Vertiv Power Insight")</f>
        <v>Vertiv Power Insight</v>
      </c>
      <c r="B8162" s="4" t="s">
        <v>2030</v>
      </c>
      <c r="C8162" s="8" t="s">
        <v>5</v>
      </c>
      <c r="D8162" s="11" t="s">
        <v>4964</v>
      </c>
    </row>
    <row r="8163" spans="1:4" ht="30">
      <c r="A8163" s="5" t="str">
        <f>HYPERLINK("https://www.oit.va.gov/Services/TRM/ToolPage.aspx?tid=15040^","Liebert Nform")</f>
        <v>Liebert Nform</v>
      </c>
      <c r="B8163" s="4" t="s">
        <v>2030</v>
      </c>
      <c r="C8163" s="8" t="s">
        <v>5</v>
      </c>
      <c r="D8163" s="11" t="s">
        <v>6764</v>
      </c>
    </row>
    <row r="8164" spans="1:4" ht="30">
      <c r="A8164" s="5" t="str">
        <f>HYPERLINK("https://www.oit.va.gov/Services/TRM/ToolPage.aspx?tid=9226^","Perceptive Reach Integrated Reach Database System (IRDS)")</f>
        <v>Perceptive Reach Integrated Reach Database System (IRDS)</v>
      </c>
      <c r="B8164" s="4" t="s">
        <v>8418</v>
      </c>
      <c r="C8164" s="8" t="s">
        <v>5</v>
      </c>
      <c r="D8164" s="11" t="s">
        <v>3426</v>
      </c>
    </row>
    <row r="8165" spans="1:4" ht="30">
      <c r="A8165" s="5" t="str">
        <f>HYPERLINK("https://www.oit.va.gov/Services/TRM/ToolPage.aspx?tid=6767^","Observer Analyzer")</f>
        <v>Observer Analyzer</v>
      </c>
      <c r="B8165" s="4" t="s">
        <v>3423</v>
      </c>
      <c r="C8165" s="8" t="s">
        <v>5</v>
      </c>
      <c r="D8165" s="11" t="s">
        <v>3424</v>
      </c>
    </row>
    <row r="8166" spans="1:4" ht="30">
      <c r="A8166" s="5" t="str">
        <f>HYPERLINK("https://www.oit.va.gov/Services/TRM/ToolPage.aspx?tid=13819^","Vicon Nexus")</f>
        <v>Vicon Nexus</v>
      </c>
      <c r="B8166" s="4" t="s">
        <v>6139</v>
      </c>
      <c r="C8166" s="8" t="s">
        <v>5</v>
      </c>
      <c r="D8166" s="11" t="s">
        <v>2783</v>
      </c>
    </row>
    <row r="8167" spans="1:4" ht="30">
      <c r="A8167" s="5" t="str">
        <f>HYPERLINK("https://www.oit.va.gov/Services/TRM/ToolPage.aspx?tid=6977^","Mantis Bug Tracker (BT)")</f>
        <v>Mantis Bug Tracker (BT)</v>
      </c>
      <c r="B8167" s="4" t="s">
        <v>6818</v>
      </c>
      <c r="C8167" s="8" t="s">
        <v>5</v>
      </c>
      <c r="D8167" s="11" t="s">
        <v>6819</v>
      </c>
    </row>
    <row r="8168" spans="1:4" ht="30">
      <c r="A8168" s="5" t="str">
        <f>HYPERLINK("https://www.oit.va.gov/Services/TRM/ToolPage.aspx?tid=16677^","VictoriaMetrics")</f>
        <v>VictoriaMetrics</v>
      </c>
      <c r="B8168" s="4" t="s">
        <v>2036</v>
      </c>
      <c r="C8168" s="8" t="s">
        <v>5</v>
      </c>
      <c r="D8168" s="11" t="s">
        <v>2037</v>
      </c>
    </row>
    <row r="8169" spans="1:4" ht="30">
      <c r="A8169" s="5" t="str">
        <f>HYPERLINK("https://www.oit.va.gov/Services/TRM/ToolPage.aspx?tid=9865^","AutoCue QPro Prompting Software")</f>
        <v>AutoCue QPro Prompting Software</v>
      </c>
      <c r="B8169" s="4" t="s">
        <v>5668</v>
      </c>
      <c r="C8169" s="8" t="s">
        <v>5</v>
      </c>
      <c r="D8169" s="11" t="s">
        <v>857</v>
      </c>
    </row>
    <row r="8170" spans="1:4" ht="30">
      <c r="A8170" s="5" t="str">
        <f>HYPERLINK("https://www.oit.va.gov/Services/TRM/ToolPage.aspx?tid=14445^","Element Three Dimension (3D)")</f>
        <v>Element Three Dimension (3D)</v>
      </c>
      <c r="B8170" s="4" t="s">
        <v>5170</v>
      </c>
      <c r="C8170" s="8" t="s">
        <v>5</v>
      </c>
      <c r="D8170" s="11" t="s">
        <v>2541</v>
      </c>
    </row>
    <row r="8171" spans="1:4" ht="30">
      <c r="A8171" s="5" t="str">
        <f>HYPERLINK("https://www.oit.va.gov/Services/TRM/ToolPage.aspx?tid=14468^","Action Essentials 2")</f>
        <v>Action Essentials 2</v>
      </c>
      <c r="B8171" s="4" t="s">
        <v>5170</v>
      </c>
      <c r="C8171" s="8" t="s">
        <v>5</v>
      </c>
      <c r="D8171" s="11" t="s">
        <v>5612</v>
      </c>
    </row>
    <row r="8172" spans="1:4" ht="30">
      <c r="A8172" s="5" t="str">
        <f>HYPERLINK("https://www.oit.va.gov/Services/TRM/ToolPage.aspx?tid=14542^","Motion Design 2")</f>
        <v>Motion Design 2</v>
      </c>
      <c r="B8172" s="4" t="s">
        <v>5170</v>
      </c>
      <c r="C8172" s="8" t="s">
        <v>5</v>
      </c>
      <c r="D8172" s="11" t="s">
        <v>6889</v>
      </c>
    </row>
    <row r="8173" spans="1:4" ht="30">
      <c r="A8173" s="5" t="str">
        <f>HYPERLINK("https://www.oit.va.gov/Services/TRM/ToolPage.aspx?tid=14440^","Optical Flares")</f>
        <v>Optical Flares</v>
      </c>
      <c r="B8173" s="4" t="s">
        <v>5170</v>
      </c>
      <c r="C8173" s="8" t="s">
        <v>5</v>
      </c>
      <c r="D8173" s="11" t="s">
        <v>6977</v>
      </c>
    </row>
    <row r="8174" spans="1:4" ht="30">
      <c r="A8174" s="5" t="str">
        <f>HYPERLINK("https://www.oit.va.gov/Services/TRM/ToolPage.aspx?tid=14441^","Twitch")</f>
        <v>Twitch</v>
      </c>
      <c r="B8174" s="4" t="s">
        <v>5170</v>
      </c>
      <c r="C8174" s="8" t="s">
        <v>5</v>
      </c>
      <c r="D8174" s="11" t="s">
        <v>2024</v>
      </c>
    </row>
    <row r="8175" spans="1:4" ht="30">
      <c r="A8175" s="5" t="str">
        <f>HYPERLINK("https://www.oit.va.gov/Services/TRM/ToolPage.aspx?tid=14452^","Video Copilot Pro Presets for Optical Flares")</f>
        <v>Video Copilot Pro Presets for Optical Flares</v>
      </c>
      <c r="B8175" s="4" t="s">
        <v>5170</v>
      </c>
      <c r="C8175" s="8" t="s">
        <v>5</v>
      </c>
      <c r="D8175" s="11" t="s">
        <v>5561</v>
      </c>
    </row>
    <row r="8176" spans="1:4" ht="30">
      <c r="A8176" s="5" t="str">
        <f>HYPERLINK("https://www.oit.va.gov/Services/TRM/ToolPage.aspx?tid=14550^","Backlight")</f>
        <v>Backlight</v>
      </c>
      <c r="B8176" s="4" t="s">
        <v>5170</v>
      </c>
      <c r="C8176" s="8" t="s">
        <v>5</v>
      </c>
      <c r="D8176" s="11" t="s">
        <v>7531</v>
      </c>
    </row>
    <row r="8177" spans="1:4" ht="30">
      <c r="A8177" s="5" t="str">
        <f>HYPERLINK("https://www.oit.va.gov/Services/TRM/ToolPage.aspx?tid=14463^","Pro Shaders 2")</f>
        <v>Pro Shaders 2</v>
      </c>
      <c r="B8177" s="4" t="s">
        <v>5170</v>
      </c>
      <c r="C8177" s="8" t="s">
        <v>5</v>
      </c>
      <c r="D8177" s="11" t="s">
        <v>5569</v>
      </c>
    </row>
    <row r="8178" spans="1:4" ht="30">
      <c r="A8178" s="5" t="str">
        <f>HYPERLINK("https://www.oit.va.gov/Services/TRM/ToolPage.aspx?tid=11644^","VideoLAN Client (VLC) Media Player")</f>
        <v>VideoLAN Client (VLC) Media Player</v>
      </c>
      <c r="B8178" s="4" t="s">
        <v>7285</v>
      </c>
      <c r="C8178" s="8" t="s">
        <v>5</v>
      </c>
      <c r="D8178" s="11" t="s">
        <v>7286</v>
      </c>
    </row>
    <row r="8179" spans="1:4" ht="30">
      <c r="A8179" s="5" t="str">
        <f>HYPERLINK("https://www.oit.va.gov/Services/TRM/ToolPage.aspx?tid=15313^","VidyoWeb")</f>
        <v>VidyoWeb</v>
      </c>
      <c r="B8179" s="4" t="s">
        <v>4966</v>
      </c>
      <c r="C8179" s="8" t="s">
        <v>5</v>
      </c>
      <c r="D8179" s="11" t="s">
        <v>3065</v>
      </c>
    </row>
    <row r="8180" spans="1:4" ht="30">
      <c r="A8180" s="5" t="str">
        <f>HYPERLINK("https://www.oit.va.gov/Services/TRM/ToolPage.aspx?tid=7223^","VidyoDesktop")</f>
        <v>VidyoDesktop</v>
      </c>
      <c r="B8180" s="4" t="s">
        <v>4966</v>
      </c>
      <c r="C8180" s="8" t="s">
        <v>5</v>
      </c>
      <c r="D8180" s="11" t="s">
        <v>7287</v>
      </c>
    </row>
    <row r="8181" spans="1:4" ht="30">
      <c r="A8181" s="5" t="str">
        <f>HYPERLINK("https://www.oit.va.gov/Services/TRM/ToolPage.aspx?tid=16724^","Tiger Software Suite 8")</f>
        <v>Tiger Software Suite 8</v>
      </c>
      <c r="B8181" s="4" t="s">
        <v>6111</v>
      </c>
      <c r="C8181" s="8" t="s">
        <v>5</v>
      </c>
      <c r="D8181" s="11" t="s">
        <v>2455</v>
      </c>
    </row>
    <row r="8182" spans="1:4" ht="30">
      <c r="A8182" s="5" t="str">
        <f>HYPERLINK("https://www.oit.va.gov/Services/TRM/ToolPage.aspx?tid=7899^","Signage Manager")</f>
        <v>Signage Manager</v>
      </c>
      <c r="B8182" s="4" t="s">
        <v>3669</v>
      </c>
      <c r="C8182" s="8" t="s">
        <v>5</v>
      </c>
      <c r="D8182" s="11" t="s">
        <v>3670</v>
      </c>
    </row>
    <row r="8183" spans="1:4" ht="30">
      <c r="A8183" s="5" t="str">
        <f>HYPERLINK("https://www.oit.va.gov/Services/TRM/ToolPage.aspx?tid=16395^","MyViewBoard Whiteboard")</f>
        <v>MyViewBoard Whiteboard</v>
      </c>
      <c r="B8183" s="4" t="s">
        <v>3669</v>
      </c>
      <c r="C8183" s="8" t="s">
        <v>5</v>
      </c>
      <c r="D8183" s="11" t="s">
        <v>203</v>
      </c>
    </row>
    <row r="8184" spans="1:4" ht="30">
      <c r="A8184" s="5" t="str">
        <f>HYPERLINK("https://www.oit.va.gov/Services/TRM/ToolPage.aspx?tid=14218^","ViewSonic ViewSplit Software")</f>
        <v>ViewSonic ViewSplit Software</v>
      </c>
      <c r="B8184" s="4" t="s">
        <v>3669</v>
      </c>
      <c r="C8184" s="8" t="s">
        <v>5</v>
      </c>
      <c r="D8184" s="11" t="s">
        <v>8875</v>
      </c>
    </row>
    <row r="8185" spans="1:4" ht="30">
      <c r="A8185" s="5" t="str">
        <f>HYPERLINK("https://www.oit.va.gov/Services/TRM/ToolPage.aspx?tid=15580^","Viking Internet Protocol (IP) Programming")</f>
        <v>Viking Internet Protocol (IP) Programming</v>
      </c>
      <c r="B8185" s="4" t="s">
        <v>8876</v>
      </c>
      <c r="C8185" s="8" t="s">
        <v>5</v>
      </c>
      <c r="D8185" s="11" t="s">
        <v>5863</v>
      </c>
    </row>
    <row r="8186" spans="1:4" ht="30">
      <c r="A8186" s="5" t="str">
        <f>HYPERLINK("https://www.oit.va.gov/Services/TRM/ToolPage.aspx?tid=6466^","Vim")</f>
        <v>Vim</v>
      </c>
      <c r="B8186" s="4" t="s">
        <v>4969</v>
      </c>
      <c r="C8186" s="8" t="s">
        <v>5</v>
      </c>
      <c r="D8186" s="11" t="s">
        <v>4395</v>
      </c>
    </row>
    <row r="8187" spans="1:4" ht="30">
      <c r="A8187" s="5" t="str">
        <f>HYPERLINK("https://www.oit.va.gov/Services/TRM/ToolPage.aspx?tid=10860^","Selenium-Standalone")</f>
        <v>Selenium-Standalone</v>
      </c>
      <c r="B8187" s="4" t="s">
        <v>7125</v>
      </c>
      <c r="C8187" s="8" t="s">
        <v>5</v>
      </c>
      <c r="D8187" s="11" t="s">
        <v>2935</v>
      </c>
    </row>
    <row r="8188" spans="1:4" ht="30">
      <c r="A8188" s="5" t="str">
        <f>HYPERLINK("https://www.oit.va.gov/Services/TRM/ToolPage.aspx?tid=9856^","VIP Task Manager")</f>
        <v>VIP Task Manager</v>
      </c>
      <c r="B8188" s="4" t="s">
        <v>7289</v>
      </c>
      <c r="C8188" s="8" t="s">
        <v>5</v>
      </c>
      <c r="D8188" s="11" t="s">
        <v>7290</v>
      </c>
    </row>
    <row r="8189" spans="1:4" ht="30">
      <c r="A8189" s="5" t="str">
        <f>HYPERLINK("https://www.oit.va.gov/Services/TRM/ToolPage.aspx?tid=11675^","CloudWisdom")</f>
        <v>CloudWisdom</v>
      </c>
      <c r="B8189" s="4" t="s">
        <v>6427</v>
      </c>
      <c r="C8189" s="8" t="s">
        <v>5</v>
      </c>
      <c r="D8189" s="11" t="s">
        <v>6428</v>
      </c>
    </row>
    <row r="8190" spans="1:4" ht="30">
      <c r="A8190" s="5" t="str">
        <f>HYPERLINK("https://www.oit.va.gov/Services/TRM/ToolPage.aspx?tid=14080^","Reject Analysis Module")</f>
        <v>Reject Analysis Module</v>
      </c>
      <c r="B8190" s="4" t="s">
        <v>7075</v>
      </c>
      <c r="C8190" s="8" t="s">
        <v>5</v>
      </c>
      <c r="D8190" s="11" t="s">
        <v>4851</v>
      </c>
    </row>
    <row r="8191" spans="1:4" ht="30">
      <c r="A8191" s="5" t="str">
        <f>HYPERLINK("https://www.oit.va.gov/Services/TRM/ToolPage.aspx?tid=14193^","Bravemind")</f>
        <v>Bravemind</v>
      </c>
      <c r="B8191" s="4" t="s">
        <v>7579</v>
      </c>
      <c r="C8191" s="8" t="s">
        <v>5</v>
      </c>
      <c r="D8191" s="11" t="s">
        <v>2932</v>
      </c>
    </row>
    <row r="8192" spans="1:4" ht="30">
      <c r="A8192" s="5" t="str">
        <f>HYPERLINK("https://www.oit.va.gov/Services/TRM/ToolPage.aspx?tid=10637^","VirtuaWin")</f>
        <v>VirtuaWin</v>
      </c>
      <c r="B8192" s="4" t="s">
        <v>7295</v>
      </c>
      <c r="C8192" s="8" t="s">
        <v>5</v>
      </c>
      <c r="D8192" s="11" t="s">
        <v>3926</v>
      </c>
    </row>
    <row r="8193" spans="1:4" ht="30">
      <c r="A8193" s="5" t="str">
        <f>HYPERLINK("https://www.oit.va.gov/Services/TRM/ToolPage.aspx?tid=7947^","Visage 7")</f>
        <v>Visage 7</v>
      </c>
      <c r="B8193" s="4" t="s">
        <v>2040</v>
      </c>
      <c r="C8193" s="8" t="s">
        <v>5</v>
      </c>
      <c r="D8193" s="11" t="s">
        <v>2041</v>
      </c>
    </row>
    <row r="8194" spans="1:4" ht="30">
      <c r="A8194" s="5" t="str">
        <f>HYPERLINK("https://www.oit.va.gov/Services/TRM/ToolPage.aspx?tid=9163^","Visilearn Virtual Classroom")</f>
        <v>Visilearn Virtual Classroom</v>
      </c>
      <c r="B8194" s="4" t="s">
        <v>8882</v>
      </c>
      <c r="C8194" s="8" t="s">
        <v>5</v>
      </c>
      <c r="D8194" s="11" t="s">
        <v>8078</v>
      </c>
    </row>
    <row r="8195" spans="1:4" ht="30">
      <c r="A8195" s="5" t="str">
        <f>HYPERLINK("https://www.oit.va.gov/Services/TRM/ToolPage.aspx?tid=8180^","Vision Engraving and Routing Software")</f>
        <v>Vision Engraving and Routing Software</v>
      </c>
      <c r="B8195" s="4" t="s">
        <v>3673</v>
      </c>
      <c r="C8195" s="8" t="s">
        <v>5</v>
      </c>
      <c r="D8195" s="11" t="s">
        <v>674</v>
      </c>
    </row>
    <row r="8196" spans="1:4" ht="30">
      <c r="A8196" s="5" t="str">
        <f>HYPERLINK("https://www.oit.va.gov/Services/TRM/ToolPage.aspx?tid=14443^","Vision Expert")</f>
        <v>Vision Expert</v>
      </c>
      <c r="B8196" s="4" t="s">
        <v>3673</v>
      </c>
      <c r="C8196" s="8" t="s">
        <v>5</v>
      </c>
      <c r="D8196" s="11" t="s">
        <v>3981</v>
      </c>
    </row>
    <row r="8197" spans="1:4" ht="30">
      <c r="A8197" s="5" t="str">
        <f>HYPERLINK("https://www.oit.va.gov/Services/TRM/ToolPage.aspx?tid=10250^","OneTouch")</f>
        <v>OneTouch</v>
      </c>
      <c r="B8197" s="4" t="s">
        <v>4543</v>
      </c>
      <c r="C8197" s="8" t="s">
        <v>5</v>
      </c>
      <c r="D8197" s="11" t="s">
        <v>2631</v>
      </c>
    </row>
    <row r="8198" spans="1:4" ht="30">
      <c r="A8198" s="5" t="str">
        <f>HYPERLINK("https://www.oit.va.gov/Services/TRM/ToolPage.aspx?tid=15027^","Visioneer Acuity")</f>
        <v>Visioneer Acuity</v>
      </c>
      <c r="B8198" s="4" t="s">
        <v>4543</v>
      </c>
      <c r="C8198" s="8" t="s">
        <v>5</v>
      </c>
      <c r="D8198" s="11" t="s">
        <v>6143</v>
      </c>
    </row>
    <row r="8199" spans="1:4" ht="30">
      <c r="A8199" s="5" t="str">
        <f>HYPERLINK("https://www.oit.va.gov/Services/TRM/ToolPage.aspx?tid=16023^","Visioneer Network Scan Service")</f>
        <v>Visioneer Network Scan Service</v>
      </c>
      <c r="B8199" s="4" t="s">
        <v>4543</v>
      </c>
      <c r="C8199" s="8" t="s">
        <v>5</v>
      </c>
      <c r="D8199" s="11" t="s">
        <v>6144</v>
      </c>
    </row>
    <row r="8200" spans="1:4" ht="30">
      <c r="A8200" s="5" t="str">
        <f>HYPERLINK("https://www.oit.va.gov/Services/TRM/ToolPage.aspx?tid=15959^","ReVue")</f>
        <v>ReVue</v>
      </c>
      <c r="B8200" s="4" t="s">
        <v>8570</v>
      </c>
      <c r="C8200" s="8" t="s">
        <v>5</v>
      </c>
      <c r="D8200" s="11" t="s">
        <v>4749</v>
      </c>
    </row>
    <row r="8201" spans="1:4" ht="30">
      <c r="A8201" s="5" t="str">
        <f>HYPERLINK("https://www.oit.va.gov/Services/TRM/ToolPage.aspx?tid=8318^","VisionStar Laboratory Management System (LMS)")</f>
        <v>VisionStar Laboratory Management System (LMS)</v>
      </c>
      <c r="B8201" s="4" t="s">
        <v>5577</v>
      </c>
      <c r="C8201" s="8" t="s">
        <v>5</v>
      </c>
      <c r="D8201" s="11" t="s">
        <v>3441</v>
      </c>
    </row>
    <row r="8202" spans="1:4" ht="30">
      <c r="A8202" s="5" t="str">
        <f>HYPERLINK("https://www.oit.va.gov/Services/TRM/ToolPage.aspx?tid=8929^","Oncotopix")</f>
        <v>Oncotopix</v>
      </c>
      <c r="B8202" s="4" t="s">
        <v>2821</v>
      </c>
      <c r="C8202" s="8" t="s">
        <v>5</v>
      </c>
      <c r="D8202" s="11" t="s">
        <v>392</v>
      </c>
    </row>
    <row r="8203" spans="1:4" ht="30">
      <c r="A8203" s="5" t="str">
        <f>HYPERLINK("https://www.oit.va.gov/Services/TRM/ToolPage.aspx?tid=11170^","Visiun Performance Insight (PI)")</f>
        <v>Visiun Performance Insight (PI)</v>
      </c>
      <c r="B8203" s="4" t="s">
        <v>2042</v>
      </c>
      <c r="C8203" s="8" t="s">
        <v>5</v>
      </c>
      <c r="D8203" s="11" t="s">
        <v>961</v>
      </c>
    </row>
    <row r="8204" spans="1:4" ht="30">
      <c r="A8204" s="5" t="str">
        <f>HYPERLINK("https://www.oit.va.gov/Services/TRM/ToolPage.aspx?tid=16058^","Dynamic Capture")</f>
        <v>Dynamic Capture</v>
      </c>
      <c r="B8204" s="4" t="s">
        <v>972</v>
      </c>
      <c r="C8204" s="8" t="s">
        <v>5</v>
      </c>
      <c r="D8204" s="11" t="s">
        <v>973</v>
      </c>
    </row>
    <row r="8205" spans="1:4" ht="30">
      <c r="A8205" s="5" t="str">
        <f>HYPERLINK("https://www.oit.va.gov/Services/TRM/ToolPage.aspx?tid=16059^","Dynamic Central")</f>
        <v>Dynamic Central</v>
      </c>
      <c r="B8205" s="4" t="s">
        <v>972</v>
      </c>
      <c r="C8205" s="8" t="s">
        <v>5</v>
      </c>
      <c r="D8205" s="11" t="s">
        <v>974</v>
      </c>
    </row>
    <row r="8206" spans="1:4" ht="30">
      <c r="A8206" s="5" t="str">
        <f>HYPERLINK("https://www.oit.va.gov/Services/TRM/ToolPage.aspx?tid=16054^","AxisTV Conference")</f>
        <v>AxisTV Conference</v>
      </c>
      <c r="B8206" s="4" t="s">
        <v>972</v>
      </c>
      <c r="C8206" s="8" t="s">
        <v>5</v>
      </c>
      <c r="D8206" s="11" t="s">
        <v>3168</v>
      </c>
    </row>
    <row r="8207" spans="1:4" ht="30">
      <c r="A8207" s="5" t="str">
        <f>HYPERLINK("https://www.oit.va.gov/Services/TRM/ToolPage.aspx?tid=9708^","BodiTrak Pro")</f>
        <v>BodiTrak Pro</v>
      </c>
      <c r="B8207" s="4" t="s">
        <v>1377</v>
      </c>
      <c r="C8207" s="8" t="s">
        <v>5</v>
      </c>
      <c r="D8207" s="11" t="s">
        <v>1201</v>
      </c>
    </row>
    <row r="8208" spans="1:4" ht="30">
      <c r="A8208" s="5" t="str">
        <f>HYPERLINK("https://www.oit.va.gov/Services/TRM/ToolPage.aspx?tid=12887^","Useful Field of View (UFOV)")</f>
        <v>Useful Field of View (UFOV)</v>
      </c>
      <c r="B8208" s="4" t="s">
        <v>1120</v>
      </c>
      <c r="C8208" s="8" t="s">
        <v>5</v>
      </c>
      <c r="D8208" s="11" t="s">
        <v>460</v>
      </c>
    </row>
    <row r="8209" spans="1:4" ht="30">
      <c r="A8209" s="5" t="str">
        <f>HYPERLINK("https://www.oit.va.gov/Services/TRM/ToolPage.aspx?tid=6744^","Visual Health Information (VHI) Personal Computer (PC)-Kits")</f>
        <v>Visual Health Information (VHI) Personal Computer (PC)-Kits</v>
      </c>
      <c r="B8209" s="4" t="s">
        <v>3622</v>
      </c>
      <c r="C8209" s="8" t="s">
        <v>5</v>
      </c>
      <c r="D8209" s="11" t="s">
        <v>3623</v>
      </c>
    </row>
    <row r="8210" spans="1:4" ht="30">
      <c r="A8210" s="5" t="str">
        <f>HYPERLINK("https://www.oit.va.gov/Services/TRM/ToolPage.aspx?tid=10095^","myGaze Plugin for Morae")</f>
        <v>myGaze Plugin for Morae</v>
      </c>
      <c r="B8210" s="4" t="s">
        <v>5369</v>
      </c>
      <c r="C8210" s="8" t="s">
        <v>5</v>
      </c>
      <c r="D8210" s="11" t="s">
        <v>5370</v>
      </c>
    </row>
    <row r="8211" spans="1:4" ht="30">
      <c r="A8211" s="5" t="str">
        <f>HYPERLINK("https://www.oit.va.gov/Services/TRM/ToolPage.aspx?tid=10208^","Visual Paradigm")</f>
        <v>Visual Paradigm</v>
      </c>
      <c r="B8211" s="4" t="s">
        <v>3072</v>
      </c>
      <c r="C8211" s="8" t="s">
        <v>5</v>
      </c>
      <c r="D8211" s="11" t="s">
        <v>2007</v>
      </c>
    </row>
    <row r="8212" spans="1:4" ht="30">
      <c r="A8212" s="5" t="str">
        <f>HYPERLINK("https://www.oit.va.gov/Services/TRM/ToolPage.aspx?tid=16365^","Structured Query Language (SQL) Server Integration Services (SSIS) Projects 2022")</f>
        <v>Structured Query Language (SQL) Server Integration Services (SSIS) Projects 2022</v>
      </c>
      <c r="B8212" s="4" t="s">
        <v>4868</v>
      </c>
      <c r="C8212" s="8" t="s">
        <v>5</v>
      </c>
      <c r="D8212" s="11" t="s">
        <v>1758</v>
      </c>
    </row>
    <row r="8213" spans="1:4" ht="30">
      <c r="A8213" s="5" t="str">
        <f>HYPERLINK("https://www.oit.va.gov/Services/TRM/ToolPage.aspx?tid=15351^","RD Exam Study Suite")</f>
        <v>RD Exam Study Suite</v>
      </c>
      <c r="B8213" s="4" t="s">
        <v>4715</v>
      </c>
      <c r="C8213" s="8" t="s">
        <v>5</v>
      </c>
      <c r="D8213" s="11" t="s">
        <v>1907</v>
      </c>
    </row>
    <row r="8214" spans="1:4" ht="30">
      <c r="A8214" s="5" t="str">
        <f>HYPERLINK("https://www.oit.va.gov/Services/TRM/ToolPage.aspx?tid=13348^","Java Quick Network (jNQ) Server Message Block (SMB) Client")</f>
        <v>Java Quick Network (jNQ) Server Message Block (SMB) Client</v>
      </c>
      <c r="B8214" s="4" t="s">
        <v>6745</v>
      </c>
      <c r="C8214" s="8" t="s">
        <v>5</v>
      </c>
      <c r="D8214" s="11" t="s">
        <v>4369</v>
      </c>
    </row>
    <row r="8215" spans="1:4" ht="30">
      <c r="A8215" s="5" t="str">
        <f>HYPERLINK("https://www.oit.va.gov/Services/TRM/ToolPage.aspx?tid=5944^","DicomPush")</f>
        <v>DicomPush</v>
      </c>
      <c r="B8215" s="4" t="s">
        <v>7757</v>
      </c>
      <c r="C8215" s="8" t="s">
        <v>5</v>
      </c>
      <c r="D8215" s="11" t="s">
        <v>7758</v>
      </c>
    </row>
    <row r="8216" spans="1:4" ht="30">
      <c r="A8216" s="5" t="str">
        <f>HYPERLINK("https://www.oit.va.gov/Services/TRM/ToolPage.aspx?tid=10683^","Vitrea Core Client")</f>
        <v>Vitrea Core Client</v>
      </c>
      <c r="B8216" s="4" t="s">
        <v>6148</v>
      </c>
      <c r="C8216" s="8" t="s">
        <v>5</v>
      </c>
      <c r="D8216" s="11" t="s">
        <v>6149</v>
      </c>
    </row>
    <row r="8217" spans="1:4" ht="30">
      <c r="A8217" s="5" t="str">
        <f>HYPERLINK("https://www.oit.va.gov/Services/TRM/ToolPage.aspx?tid=14759^","Getting Things Done (GTD) Training")</f>
        <v>Getting Things Done (GTD) Training</v>
      </c>
      <c r="B8217" s="4" t="s">
        <v>4184</v>
      </c>
      <c r="C8217" s="8" t="s">
        <v>5</v>
      </c>
      <c r="D8217" s="11" t="s">
        <v>4185</v>
      </c>
    </row>
    <row r="8218" spans="1:4" ht="30">
      <c r="A8218" s="5" t="str">
        <f>HYPERLINK("https://www.oit.va.gov/Services/TRM/ToolPage.aspx?tid=8353^","Crucial Conversations Facilitator Training Software Package")</f>
        <v>Crucial Conversations Facilitator Training Software Package</v>
      </c>
      <c r="B8218" s="4" t="s">
        <v>4184</v>
      </c>
      <c r="C8218" s="8" t="s">
        <v>5</v>
      </c>
      <c r="D8218" s="11" t="s">
        <v>5741</v>
      </c>
    </row>
    <row r="8219" spans="1:4" ht="30">
      <c r="A8219" s="5" t="str">
        <f>HYPERLINK("https://www.oit.va.gov/Services/TRM/ToolPage.aspx?tid=10455^","VitalSource Bookshelf")</f>
        <v>VitalSource Bookshelf</v>
      </c>
      <c r="B8219" s="4" t="s">
        <v>6146</v>
      </c>
      <c r="C8219" s="8" t="s">
        <v>5</v>
      </c>
      <c r="D8219" s="11" t="s">
        <v>6147</v>
      </c>
    </row>
    <row r="8220" spans="1:4" ht="30">
      <c r="A8220" s="5" t="str">
        <f>HYPERLINK("https://www.oit.va.gov/Services/TRM/ToolPage.aspx?tid=8331^","AvediaServer")</f>
        <v>AvediaServer</v>
      </c>
      <c r="B8220" s="4" t="s">
        <v>7520</v>
      </c>
      <c r="C8220" s="8" t="s">
        <v>5</v>
      </c>
      <c r="D8220" s="11" t="s">
        <v>6054</v>
      </c>
    </row>
    <row r="8221" spans="1:4" ht="30">
      <c r="A8221" s="5" t="str">
        <f>HYPERLINK("https://www.oit.va.gov/Services/TRM/ToolPage.aspx?tid=9203^","CORE")</f>
        <v>CORE</v>
      </c>
      <c r="B8221" s="4" t="s">
        <v>6461</v>
      </c>
      <c r="C8221" s="8" t="s">
        <v>5</v>
      </c>
      <c r="D8221" s="11" t="s">
        <v>4658</v>
      </c>
    </row>
    <row r="8222" spans="1:4" ht="30">
      <c r="A8222" s="5" t="str">
        <f>HYPERLINK("https://www.oit.va.gov/Services/TRM/ToolPage.aspx?tid=15932^","Vite")</f>
        <v>Vite</v>
      </c>
      <c r="B8222" s="4" t="s">
        <v>4975</v>
      </c>
      <c r="C8222" s="8" t="s">
        <v>5</v>
      </c>
      <c r="D8222" s="11" t="s">
        <v>1805</v>
      </c>
    </row>
    <row r="8223" spans="1:4" ht="30">
      <c r="A8223" s="5" t="str">
        <f>HYPERLINK("https://www.oit.va.gov/Services/TRM/ToolPage.aspx?tid=16514^","ViTel Net Cloud Imaging")</f>
        <v>ViTel Net Cloud Imaging</v>
      </c>
      <c r="B8223" s="4" t="s">
        <v>3073</v>
      </c>
      <c r="C8223" s="8" t="s">
        <v>5</v>
      </c>
      <c r="D8223" s="11" t="s">
        <v>3074</v>
      </c>
    </row>
    <row r="8224" spans="1:4" ht="30">
      <c r="A8224" s="5" t="str">
        <f>HYPERLINK("https://www.oit.va.gov/Services/TRM/ToolPage.aspx?tid=16223^","ISI Rad")</f>
        <v>ISI Rad</v>
      </c>
      <c r="B8224" s="4" t="s">
        <v>3073</v>
      </c>
      <c r="C8224" s="8" t="s">
        <v>5</v>
      </c>
      <c r="D8224" s="11" t="s">
        <v>2338</v>
      </c>
    </row>
    <row r="8225" spans="1:4" ht="30">
      <c r="A8225" s="5" t="str">
        <f>HYPERLINK("https://www.oit.va.gov/Services/TRM/ToolPage.aspx?tid=11718^","MicroLinks Technology UM7-CAM software")</f>
        <v>MicroLinks Technology UM7-CAM software</v>
      </c>
      <c r="B8225" s="4" t="s">
        <v>8259</v>
      </c>
      <c r="C8225" s="8" t="s">
        <v>5</v>
      </c>
      <c r="D8225" s="11" t="s">
        <v>6290</v>
      </c>
    </row>
    <row r="8226" spans="1:4" ht="30">
      <c r="A8226" s="5" t="str">
        <f>HYPERLINK("https://www.oit.va.gov/Services/TRM/ToolPage.aspx?tid=11^","BusinessWare")</f>
        <v>BusinessWare</v>
      </c>
      <c r="B8226" s="4" t="s">
        <v>1392</v>
      </c>
      <c r="C8226" s="8" t="s">
        <v>5</v>
      </c>
      <c r="D8226" s="11" t="s">
        <v>1393</v>
      </c>
    </row>
    <row r="8227" spans="1:4" ht="30">
      <c r="A8227" s="5" t="str">
        <f>HYPERLINK("https://www.oit.va.gov/Services/TRM/ToolPage.aspx?tid=16583^","Vivaldi Browser")</f>
        <v>Vivaldi Browser</v>
      </c>
      <c r="B8227" s="4" t="s">
        <v>8891</v>
      </c>
      <c r="C8227" s="8" t="s">
        <v>5</v>
      </c>
      <c r="D8227" s="11" t="s">
        <v>1147</v>
      </c>
    </row>
    <row r="8228" spans="1:4" ht="30">
      <c r="A8228" s="5" t="str">
        <f>HYPERLINK("https://www.oit.va.gov/Services/TRM/ToolPage.aspx?tid=11011^","Iron Bow Vivify Pathways Portal")</f>
        <v>Iron Bow Vivify Pathways Portal</v>
      </c>
      <c r="B8228" s="4" t="s">
        <v>3348</v>
      </c>
      <c r="C8228" s="8" t="s">
        <v>5</v>
      </c>
      <c r="D8228" s="11" t="s">
        <v>3349</v>
      </c>
    </row>
    <row r="8229" spans="1:4" ht="30">
      <c r="A8229" s="5" t="str">
        <f>HYPERLINK("https://www.oit.va.gov/Services/TRM/ToolPage.aspx?tid=15530^","Novo Digital Signage (NovoDS) Studio")</f>
        <v>Novo Digital Signage (NovoDS) Studio</v>
      </c>
      <c r="B8229" s="4" t="s">
        <v>4515</v>
      </c>
      <c r="C8229" s="8" t="s">
        <v>5</v>
      </c>
      <c r="D8229" s="11" t="s">
        <v>4516</v>
      </c>
    </row>
    <row r="8230" spans="1:4" ht="30">
      <c r="A8230" s="5" t="str">
        <f>HYPERLINK("https://www.oit.va.gov/Services/TRM/ToolPage.aspx?tid=15866^","VivoSense Software")</f>
        <v>VivoSense Software</v>
      </c>
      <c r="B8230" s="4" t="s">
        <v>3624</v>
      </c>
      <c r="C8230" s="8" t="s">
        <v>5</v>
      </c>
      <c r="D8230" s="11" t="s">
        <v>3625</v>
      </c>
    </row>
    <row r="8231" spans="1:4" ht="30">
      <c r="A8231" s="5" t="str">
        <f>HYPERLINK("https://www.oit.va.gov/Services/TRM/ToolPage.aspx?tid=16534^","Vizabli Acute Care Engagement Solution (ACES)")</f>
        <v>Vizabli Acute Care Engagement Solution (ACES)</v>
      </c>
      <c r="B8231" s="4" t="s">
        <v>3075</v>
      </c>
      <c r="C8231" s="8" t="s">
        <v>5</v>
      </c>
      <c r="D8231" s="11" t="s">
        <v>3076</v>
      </c>
    </row>
    <row r="8232" spans="1:4" ht="30">
      <c r="A8232" s="5" t="str">
        <f>HYPERLINK("https://www.oit.va.gov/Services/TRM/ToolPage.aspx?tid=9012^","VLogic Facility Management (VLogicFM)")</f>
        <v>VLogic Facility Management (VLogicFM)</v>
      </c>
      <c r="B8232" s="4" t="s">
        <v>3077</v>
      </c>
      <c r="C8232" s="8" t="s">
        <v>5</v>
      </c>
      <c r="D8232" s="11" t="s">
        <v>3078</v>
      </c>
    </row>
    <row r="8233" spans="1:4" ht="30">
      <c r="A8233" s="5" t="str">
        <f>HYPERLINK("https://www.oit.va.gov/Services/TRM/ToolPage.aspx?tid=8477^","VMware Aria Operations")</f>
        <v>VMware Aria Operations</v>
      </c>
      <c r="B8233" s="4" t="s">
        <v>894</v>
      </c>
      <c r="C8233" s="8" t="s">
        <v>5</v>
      </c>
      <c r="D8233" s="11" t="s">
        <v>895</v>
      </c>
    </row>
    <row r="8234" spans="1:4" ht="30">
      <c r="A8234" s="5" t="str">
        <f>HYPERLINK("https://www.oit.va.gov/Services/TRM/ToolPage.aspx?tid=5472^","VMware vSphere")</f>
        <v>VMware vSphere</v>
      </c>
      <c r="B8234" s="4" t="s">
        <v>894</v>
      </c>
      <c r="C8234" s="8" t="s">
        <v>5</v>
      </c>
      <c r="D8234" s="11" t="s">
        <v>896</v>
      </c>
    </row>
    <row r="8235" spans="1:4" ht="30">
      <c r="A8235" s="5" t="str">
        <f>HYPERLINK("https://www.oit.va.gov/Services/TRM/ToolPage.aspx?tid=15459^","VMware WorkSpace ONE Access")</f>
        <v>VMware WorkSpace ONE Access</v>
      </c>
      <c r="B8235" s="4" t="s">
        <v>894</v>
      </c>
      <c r="C8235" s="8" t="s">
        <v>5</v>
      </c>
      <c r="D8235" s="11" t="s">
        <v>897</v>
      </c>
    </row>
    <row r="8236" spans="1:4" ht="30">
      <c r="A8236" s="5" t="str">
        <f>HYPERLINK("https://www.oit.va.gov/Services/TRM/ToolPage.aspx?tid=15667^","Carbon Black Application Control")</f>
        <v>Carbon Black Application Control</v>
      </c>
      <c r="B8236" s="4" t="s">
        <v>894</v>
      </c>
      <c r="C8236" s="8" t="s">
        <v>5</v>
      </c>
      <c r="D8236" s="11" t="s">
        <v>1403</v>
      </c>
    </row>
    <row r="8237" spans="1:4" ht="30">
      <c r="A8237" s="5" t="str">
        <f>HYPERLINK("https://www.oit.va.gov/Services/TRM/ToolPage.aspx?tid=7214^","VMware Horizon")</f>
        <v>VMware Horizon</v>
      </c>
      <c r="B8237" s="4" t="s">
        <v>894</v>
      </c>
      <c r="C8237" s="8" t="s">
        <v>5</v>
      </c>
      <c r="D8237" s="11" t="s">
        <v>2043</v>
      </c>
    </row>
    <row r="8238" spans="1:4" ht="30">
      <c r="A8238" s="5" t="str">
        <f>HYPERLINK("https://www.oit.va.gov/Services/TRM/ToolPage.aspx?tid=5756^","VMware Horizon View Manager")</f>
        <v>VMware Horizon View Manager</v>
      </c>
      <c r="B8238" s="4" t="s">
        <v>894</v>
      </c>
      <c r="C8238" s="8" t="s">
        <v>5</v>
      </c>
      <c r="D8238" s="11" t="s">
        <v>1898</v>
      </c>
    </row>
    <row r="8239" spans="1:4" ht="30">
      <c r="A8239" s="5" t="str">
        <f>HYPERLINK("https://www.oit.va.gov/Services/TRM/ToolPage.aspx?tid=6454^","VMware Workstation")</f>
        <v>VMware Workstation</v>
      </c>
      <c r="B8239" s="4" t="s">
        <v>894</v>
      </c>
      <c r="C8239" s="8" t="s">
        <v>5</v>
      </c>
      <c r="D8239" s="11" t="s">
        <v>2044</v>
      </c>
    </row>
    <row r="8240" spans="1:4" ht="30">
      <c r="A8240" s="5" t="str">
        <f>HYPERLINK("https://www.oit.va.gov/Services/TRM/ToolPage.aspx?tid=16411^","Workspace One Assist")</f>
        <v>Workspace One Assist</v>
      </c>
      <c r="B8240" s="4" t="s">
        <v>894</v>
      </c>
      <c r="C8240" s="8" t="s">
        <v>5</v>
      </c>
      <c r="D8240" s="11" t="s">
        <v>2065</v>
      </c>
    </row>
    <row r="8241" spans="1:4" ht="30">
      <c r="A8241" s="5" t="str">
        <f>HYPERLINK("https://www.oit.va.gov/Services/TRM/ToolPage.aspx?tid=15455^","WorkSpace ONE Unified Endpoint Management (UEM)")</f>
        <v>WorkSpace ONE Unified Endpoint Management (UEM)</v>
      </c>
      <c r="B8241" s="4" t="s">
        <v>894</v>
      </c>
      <c r="C8241" s="8" t="s">
        <v>5</v>
      </c>
      <c r="D8241" s="11" t="s">
        <v>2066</v>
      </c>
    </row>
    <row r="8242" spans="1:4" ht="30">
      <c r="A8242" s="5" t="str">
        <f>HYPERLINK("https://www.oit.va.gov/Services/TRM/ToolPage.aspx?tid=5755^","VMware vCenter Converter Standalone")</f>
        <v>VMware vCenter Converter Standalone</v>
      </c>
      <c r="B8242" s="4" t="s">
        <v>894</v>
      </c>
      <c r="C8242" s="8" t="s">
        <v>5</v>
      </c>
      <c r="D8242" s="11" t="s">
        <v>2199</v>
      </c>
    </row>
    <row r="8243" spans="1:4" ht="30">
      <c r="A8243" s="5" t="str">
        <f>HYPERLINK("https://www.oit.va.gov/Services/TRM/ToolPage.aspx?tid=11586^","VMware vSphere Update Manager")</f>
        <v>VMware vSphere Update Manager</v>
      </c>
      <c r="B8243" s="4" t="s">
        <v>894</v>
      </c>
      <c r="C8243" s="8" t="s">
        <v>5</v>
      </c>
      <c r="D8243" s="11" t="s">
        <v>2200</v>
      </c>
    </row>
    <row r="8244" spans="1:4" ht="30">
      <c r="A8244" s="5" t="str">
        <f>HYPERLINK("https://www.oit.va.gov/Services/TRM/ToolPage.aspx?tid=14448^","Velero")</f>
        <v>Velero</v>
      </c>
      <c r="B8244" s="4" t="s">
        <v>894</v>
      </c>
      <c r="C8244" s="8" t="s">
        <v>5</v>
      </c>
      <c r="D8244" s="11" t="s">
        <v>1970</v>
      </c>
    </row>
    <row r="8245" spans="1:4" ht="30">
      <c r="A8245" s="5" t="str">
        <f>HYPERLINK("https://www.oit.va.gov/Services/TRM/ToolPage.aspx?tid=11467^","VMware Network Virtualization and Security (NSX) Data Center for vSphere")</f>
        <v>VMware Network Virtualization and Security (NSX) Data Center for vSphere</v>
      </c>
      <c r="B8245" s="4" t="s">
        <v>894</v>
      </c>
      <c r="C8245" s="8" t="s">
        <v>5</v>
      </c>
      <c r="D8245" s="11" t="s">
        <v>3626</v>
      </c>
    </row>
    <row r="8246" spans="1:4" ht="30">
      <c r="A8246" s="5" t="str">
        <f>HYPERLINK("https://www.oit.va.gov/Services/TRM/ToolPage.aspx?tid=7980^","AirWatch Secure Email Gateway (SEG)")</f>
        <v>AirWatch Secure Email Gateway (SEG)</v>
      </c>
      <c r="B8246" s="4" t="s">
        <v>894</v>
      </c>
      <c r="C8246" s="8" t="s">
        <v>5</v>
      </c>
      <c r="D8246" s="11" t="s">
        <v>2838</v>
      </c>
    </row>
    <row r="8247" spans="1:4" ht="30">
      <c r="A8247" s="5" t="str">
        <f>HYPERLINK("https://www.oit.va.gov/Services/TRM/ToolPage.aspx?tid=14388^","Gangway")</f>
        <v>Gangway</v>
      </c>
      <c r="B8247" s="4" t="s">
        <v>894</v>
      </c>
      <c r="C8247" s="8" t="s">
        <v>5</v>
      </c>
      <c r="D8247" s="11" t="s">
        <v>3307</v>
      </c>
    </row>
    <row r="8248" spans="1:4" ht="30">
      <c r="A8248" s="5" t="str">
        <f>HYPERLINK("https://www.oit.va.gov/Services/TRM/ToolPage.aspx?tid=7738^","RabbitMQ")</f>
        <v>RabbitMQ</v>
      </c>
      <c r="B8248" s="4" t="s">
        <v>894</v>
      </c>
      <c r="C8248" s="8" t="s">
        <v>5</v>
      </c>
      <c r="D8248" s="11" t="s">
        <v>4703</v>
      </c>
    </row>
    <row r="8249" spans="1:4" ht="30">
      <c r="A8249" s="5" t="str">
        <f>HYPERLINK("https://www.oit.va.gov/Services/TRM/ToolPage.aspx?tid=11450^","VMware Cloud Foundation Automation")</f>
        <v>VMware Cloud Foundation Automation</v>
      </c>
      <c r="B8249" s="4" t="s">
        <v>894</v>
      </c>
      <c r="C8249" s="8" t="s">
        <v>5</v>
      </c>
      <c r="D8249" s="11" t="s">
        <v>2044</v>
      </c>
    </row>
    <row r="8250" spans="1:4" ht="30">
      <c r="A8250" s="5" t="str">
        <f>HYPERLINK("https://www.oit.va.gov/Services/TRM/ToolPage.aspx?tid=7489^","VMWare Fusion")</f>
        <v>VMWare Fusion</v>
      </c>
      <c r="B8250" s="4" t="s">
        <v>894</v>
      </c>
      <c r="C8250" s="8" t="s">
        <v>5</v>
      </c>
      <c r="D8250" s="11" t="s">
        <v>4579</v>
      </c>
    </row>
    <row r="8251" spans="1:4" ht="30">
      <c r="A8251" s="5" t="str">
        <f>HYPERLINK("https://www.oit.va.gov/Services/TRM/ToolPage.aspx?tid=10266^","VMWare Horizon Client")</f>
        <v>VMWare Horizon Client</v>
      </c>
      <c r="B8251" s="4" t="s">
        <v>894</v>
      </c>
      <c r="C8251" s="8" t="s">
        <v>5</v>
      </c>
      <c r="D8251" s="11" t="s">
        <v>4976</v>
      </c>
    </row>
    <row r="8252" spans="1:4" ht="30">
      <c r="A8252" s="5" t="str">
        <f>HYPERLINK("https://www.oit.va.gov/Services/TRM/ToolPage.aspx?tid=14989^","VMware Network Virtualization and Security (NSX)")</f>
        <v>VMware Network Virtualization and Security (NSX)</v>
      </c>
      <c r="B8252" s="4" t="s">
        <v>894</v>
      </c>
      <c r="C8252" s="8" t="s">
        <v>5</v>
      </c>
      <c r="D8252" s="11" t="s">
        <v>4977</v>
      </c>
    </row>
    <row r="8253" spans="1:4" ht="30">
      <c r="A8253" s="5" t="str">
        <f>HYPERLINK("https://www.oit.va.gov/Services/TRM/ToolPage.aspx?tid=10124^","VMware Photon Operating System (OS)")</f>
        <v>VMware Photon Operating System (OS)</v>
      </c>
      <c r="B8253" s="4" t="s">
        <v>894</v>
      </c>
      <c r="C8253" s="8" t="s">
        <v>5</v>
      </c>
      <c r="D8253" s="11" t="s">
        <v>4978</v>
      </c>
    </row>
    <row r="8254" spans="1:4" ht="30">
      <c r="A8254" s="5" t="str">
        <f>HYPERLINK("https://www.oit.va.gov/Services/TRM/ToolPage.aspx?tid=11585^","VMware Remote Console")</f>
        <v>VMware Remote Console</v>
      </c>
      <c r="B8254" s="4" t="s">
        <v>894</v>
      </c>
      <c r="C8254" s="8" t="s">
        <v>5</v>
      </c>
      <c r="D8254" s="11" t="s">
        <v>4979</v>
      </c>
    </row>
    <row r="8255" spans="1:4" ht="30">
      <c r="A8255" s="5" t="str">
        <f>HYPERLINK("https://www.oit.va.gov/Services/TRM/ToolPage.aspx?tid=5482^","VMware Site Recovery Manager (SRM)")</f>
        <v>VMware Site Recovery Manager (SRM)</v>
      </c>
      <c r="B8255" s="4" t="s">
        <v>894</v>
      </c>
      <c r="C8255" s="8" t="s">
        <v>5</v>
      </c>
      <c r="D8255" s="11" t="s">
        <v>1232</v>
      </c>
    </row>
    <row r="8256" spans="1:4" ht="30">
      <c r="A8256" s="5" t="str">
        <f>HYPERLINK("https://www.oit.va.gov/Services/TRM/ToolPage.aspx?tid=6556^","VMware Tools")</f>
        <v>VMware Tools</v>
      </c>
      <c r="B8256" s="4" t="s">
        <v>894</v>
      </c>
      <c r="C8256" s="8" t="s">
        <v>5</v>
      </c>
      <c r="D8256" s="11" t="s">
        <v>2886</v>
      </c>
    </row>
    <row r="8257" spans="1:4" ht="30">
      <c r="A8257" s="5" t="str">
        <f>HYPERLINK("https://www.oit.va.gov/Services/TRM/ToolPage.aspx?tid=15454^","WorkSpace ONE Intelligent Hub")</f>
        <v>WorkSpace ONE Intelligent Hub</v>
      </c>
      <c r="B8257" s="4" t="s">
        <v>894</v>
      </c>
      <c r="C8257" s="8" t="s">
        <v>5</v>
      </c>
      <c r="D8257" s="11" t="s">
        <v>892</v>
      </c>
    </row>
    <row r="8258" spans="1:4" ht="30">
      <c r="A8258" s="5" t="str">
        <f>HYPERLINK("https://www.oit.va.gov/Services/TRM/ToolPage.aspx?tid=7118^","VMware vSphere Command-Line Interface (vCLI)")</f>
        <v>VMware vSphere Command-Line Interface (vCLI)</v>
      </c>
      <c r="B8258" s="4" t="s">
        <v>894</v>
      </c>
      <c r="C8258" s="8" t="s">
        <v>5</v>
      </c>
      <c r="D8258" s="11" t="s">
        <v>5584</v>
      </c>
    </row>
    <row r="8259" spans="1:4" ht="30">
      <c r="A8259" s="5" t="str">
        <f>HYPERLINK("https://www.oit.va.gov/Services/TRM/ToolPage.aspx?tid=5481^","VMware vCenter Capacity IQ")</f>
        <v>VMware vCenter Capacity IQ</v>
      </c>
      <c r="B8259" s="4" t="s">
        <v>894</v>
      </c>
      <c r="C8259" s="8" t="s">
        <v>5</v>
      </c>
      <c r="D8259" s="11" t="s">
        <v>7304</v>
      </c>
    </row>
    <row r="8260" spans="1:4" ht="30">
      <c r="A8260" s="5" t="str">
        <f>HYPERLINK("https://www.oit.va.gov/Services/TRM/ToolPage.aspx?tid=5480^","VMware vCenter Chargeback Manager")</f>
        <v>VMware vCenter Chargeback Manager</v>
      </c>
      <c r="B8260" s="4" t="s">
        <v>894</v>
      </c>
      <c r="C8260" s="8" t="s">
        <v>5</v>
      </c>
      <c r="D8260" s="11" t="s">
        <v>7272</v>
      </c>
    </row>
    <row r="8261" spans="1:4" ht="30">
      <c r="A8261" s="5" t="str">
        <f>HYPERLINK("https://www.oit.va.gov/Services/TRM/ToolPage.aspx?tid=5483^","VMware vCenter Lab Manager")</f>
        <v>VMware vCenter Lab Manager</v>
      </c>
      <c r="B8261" s="4" t="s">
        <v>894</v>
      </c>
      <c r="C8261" s="8" t="s">
        <v>5</v>
      </c>
      <c r="D8261" s="11" t="s">
        <v>7305</v>
      </c>
    </row>
    <row r="8262" spans="1:4" ht="30">
      <c r="A8262" s="5" t="str">
        <f>HYPERLINK("https://www.oit.va.gov/Services/TRM/ToolPage.aspx?tid=5479^","VMware vCenter Lifecycle Manager")</f>
        <v>VMware vCenter Lifecycle Manager</v>
      </c>
      <c r="B8262" s="4" t="s">
        <v>894</v>
      </c>
      <c r="C8262" s="8" t="s">
        <v>5</v>
      </c>
      <c r="D8262" s="11" t="s">
        <v>7305</v>
      </c>
    </row>
    <row r="8263" spans="1:4" ht="30">
      <c r="A8263" s="5" t="str">
        <f>HYPERLINK("https://www.oit.va.gov/Services/TRM/ToolPage.aspx?tid=15628^","Pivotal distribution of OpenJDK")</f>
        <v>Pivotal distribution of OpenJDK</v>
      </c>
      <c r="B8263" s="4" t="s">
        <v>894</v>
      </c>
      <c r="C8263" s="8" t="s">
        <v>5</v>
      </c>
      <c r="D8263" s="11" t="s">
        <v>8438</v>
      </c>
    </row>
    <row r="8264" spans="1:4" ht="30">
      <c r="A8264" s="5" t="str">
        <f>HYPERLINK("https://www.oit.va.gov/Services/TRM/ToolPage.aspx?tid=10335^","Virtual Infrastructure Extension (VIX) Application Programming Interface (API)")</f>
        <v>Virtual Infrastructure Extension (VIX) Application Programming Interface (API)</v>
      </c>
      <c r="B8264" s="4" t="s">
        <v>894</v>
      </c>
      <c r="C8264" s="8" t="s">
        <v>5</v>
      </c>
      <c r="D8264" s="11" t="s">
        <v>8880</v>
      </c>
    </row>
    <row r="8265" spans="1:4" ht="30">
      <c r="A8265" s="5" t="str">
        <f>HYPERLINK("https://www.oit.va.gov/Services/TRM/ToolPage.aspx?tid=5473^","VMware vCenter Server Heartbeat")</f>
        <v>VMware vCenter Server Heartbeat</v>
      </c>
      <c r="B8265" s="4" t="s">
        <v>894</v>
      </c>
      <c r="C8265" s="8" t="s">
        <v>5</v>
      </c>
      <c r="D8265" s="11" t="s">
        <v>7272</v>
      </c>
    </row>
    <row r="8266" spans="1:4" ht="30">
      <c r="A8266" s="5" t="str">
        <f>HYPERLINK("https://www.oit.va.gov/Services/TRM/ToolPage.aspx?tid=6558^","VMware vSphere Power Command Line Interface (PowerCLI)")</f>
        <v>VMware vSphere Power Command Line Interface (PowerCLI)</v>
      </c>
      <c r="B8266" s="4" t="s">
        <v>894</v>
      </c>
      <c r="C8266" s="8" t="s">
        <v>5</v>
      </c>
      <c r="D8266" s="11" t="s">
        <v>8892</v>
      </c>
    </row>
    <row r="8267" spans="1:4" ht="30">
      <c r="A8267" s="5" t="str">
        <f>HYPERLINK("https://www.oit.va.gov/Services/TRM/ToolPage.aspx?tid=6291^","Spring Batch")</f>
        <v>Spring Batch</v>
      </c>
      <c r="B8267" s="4" t="s">
        <v>1953</v>
      </c>
      <c r="C8267" s="8" t="s">
        <v>5</v>
      </c>
      <c r="D8267" s="11" t="s">
        <v>1820</v>
      </c>
    </row>
    <row r="8268" spans="1:4" ht="30">
      <c r="A8268" s="5" t="str">
        <f>HYPERLINK("https://www.oit.va.gov/Services/TRM/ToolPage.aspx?tid=5851^","Spring Web Services (Spring-WS)")</f>
        <v>Spring Web Services (Spring-WS)</v>
      </c>
      <c r="B8268" s="4" t="s">
        <v>1953</v>
      </c>
      <c r="C8268" s="8" t="s">
        <v>5</v>
      </c>
      <c r="D8268" s="11" t="s">
        <v>1954</v>
      </c>
    </row>
    <row r="8269" spans="1:4" ht="30">
      <c r="A8269" s="5" t="str">
        <f>HYPERLINK("https://www.oit.va.gov/Services/TRM/ToolPage.aspx?tid=8508^","Spring Boot")</f>
        <v>Spring Boot</v>
      </c>
      <c r="B8269" s="4" t="s">
        <v>1953</v>
      </c>
      <c r="C8269" s="8" t="s">
        <v>5</v>
      </c>
      <c r="D8269" s="11" t="s">
        <v>1285</v>
      </c>
    </row>
    <row r="8270" spans="1:4" ht="30">
      <c r="A8270" s="5" t="str">
        <f>HYPERLINK("https://www.oit.va.gov/Services/TRM/ToolPage.aspx?tid=1307^","Spring Security")</f>
        <v>Spring Security</v>
      </c>
      <c r="B8270" s="4" t="s">
        <v>1953</v>
      </c>
      <c r="C8270" s="8" t="s">
        <v>5</v>
      </c>
      <c r="D8270" s="11" t="s">
        <v>3466</v>
      </c>
    </row>
    <row r="8271" spans="1:4" ht="30">
      <c r="A8271" s="5" t="str">
        <f>HYPERLINK("https://www.oit.va.gov/Services/TRM/ToolPage.aspx?tid=11621^","Spring Cloud Config")</f>
        <v>Spring Cloud Config</v>
      </c>
      <c r="B8271" s="4" t="s">
        <v>1953</v>
      </c>
      <c r="C8271" s="8" t="s">
        <v>5</v>
      </c>
      <c r="D8271" s="11" t="s">
        <v>5519</v>
      </c>
    </row>
    <row r="8272" spans="1:4" ht="30">
      <c r="A8272" s="5" t="str">
        <f>HYPERLINK("https://www.oit.va.gov/Services/TRM/ToolPage.aspx?tid=1310^","Spring Lightweight Directory Access Protocol (LDAP)")</f>
        <v>Spring Lightweight Directory Access Protocol (LDAP)</v>
      </c>
      <c r="B8272" s="4" t="s">
        <v>1953</v>
      </c>
      <c r="C8272" s="8" t="s">
        <v>5</v>
      </c>
      <c r="D8272" s="11" t="s">
        <v>7173</v>
      </c>
    </row>
    <row r="8273" spans="1:4" ht="30">
      <c r="A8273" s="5" t="str">
        <f>HYPERLINK("https://www.oit.va.gov/Services/TRM/ToolPage.aspx?tid=16575^","Session Initiation Protocol (SIP) Analog Modem Server (SAMS)")</f>
        <v>Session Initiation Protocol (SIP) Analog Modem Server (SAMS)</v>
      </c>
      <c r="B8273" s="4" t="s">
        <v>8630</v>
      </c>
      <c r="C8273" s="8" t="s">
        <v>5</v>
      </c>
      <c r="D8273" s="11" t="s">
        <v>4705</v>
      </c>
    </row>
    <row r="8274" spans="1:4" ht="30">
      <c r="A8274" s="5" t="str">
        <f>HYPERLINK("https://www.oit.va.gov/Services/TRM/ToolPage.aspx?tid=15781^","Vocera Engage Platform")</f>
        <v>Vocera Engage Platform</v>
      </c>
      <c r="B8274" s="4" t="s">
        <v>3627</v>
      </c>
      <c r="C8274" s="8" t="s">
        <v>5</v>
      </c>
      <c r="D8274" s="11" t="s">
        <v>3041</v>
      </c>
    </row>
    <row r="8275" spans="1:4" ht="30">
      <c r="A8275" s="5" t="str">
        <f>HYPERLINK("https://www.oit.va.gov/Services/TRM/ToolPage.aspx?tid=16437^","Host Media Processing (HMP) Elements")</f>
        <v>Host Media Processing (HMP) Elements</v>
      </c>
      <c r="B8275" s="4" t="s">
        <v>4228</v>
      </c>
      <c r="C8275" s="8" t="s">
        <v>5</v>
      </c>
      <c r="D8275" s="11" t="s">
        <v>3943</v>
      </c>
    </row>
    <row r="8276" spans="1:4" ht="30">
      <c r="A8276" s="5" t="str">
        <f>HYPERLINK("https://www.oit.va.gov/Services/TRM/ToolPage.aspx?tid=16314^","VoiceOver Enterprise.")</f>
        <v>VoiceOver Enterprise.</v>
      </c>
      <c r="B8276" s="4" t="s">
        <v>339</v>
      </c>
      <c r="C8276" s="8" t="s">
        <v>5</v>
      </c>
      <c r="D8276" s="11" t="s">
        <v>340</v>
      </c>
    </row>
    <row r="8277" spans="1:4" ht="30">
      <c r="A8277" s="5" t="str">
        <f>HYPERLINK("https://www.oit.va.gov/Services/TRM/ToolPage.aspx?tid=14058^","VoiceOver Pathology Reporting Optimized (PRO)")</f>
        <v>VoiceOver Pathology Reporting Optimized (PRO)</v>
      </c>
      <c r="B8277" s="4" t="s">
        <v>339</v>
      </c>
      <c r="C8277" s="8" t="s">
        <v>5</v>
      </c>
      <c r="D8277" s="11" t="s">
        <v>1837</v>
      </c>
    </row>
    <row r="8278" spans="1:4" ht="30">
      <c r="A8278" s="5" t="str">
        <f>HYPERLINK("https://www.oit.va.gov/Services/TRM/ToolPage.aspx?tid=16700^","Voiceitt software")</f>
        <v>Voiceitt software</v>
      </c>
      <c r="B8278" s="4" t="s">
        <v>7307</v>
      </c>
      <c r="C8278" s="8" t="s">
        <v>5</v>
      </c>
      <c r="D8278" s="11" t="s">
        <v>2579</v>
      </c>
    </row>
    <row r="8279" spans="1:4" ht="30">
      <c r="A8279" s="5" t="str">
        <f>HYPERLINK("https://www.oit.va.gov/Services/TRM/ToolPage.aspx?tid=14133^","VoiceComputer")</f>
        <v>VoiceComputer</v>
      </c>
      <c r="B8279" s="4" t="s">
        <v>6151</v>
      </c>
      <c r="C8279" s="8" t="s">
        <v>5</v>
      </c>
      <c r="D8279" s="11" t="s">
        <v>4974</v>
      </c>
    </row>
    <row r="8280" spans="1:4" ht="30">
      <c r="A8280" s="5" t="str">
        <f>HYPERLINK("https://www.oit.va.gov/Services/TRM/ToolPage.aspx?tid=7658^","WAVPedal")</f>
        <v>WAVPedal</v>
      </c>
      <c r="B8280" s="4" t="s">
        <v>8909</v>
      </c>
      <c r="C8280" s="8" t="s">
        <v>5</v>
      </c>
      <c r="D8280" s="11" t="s">
        <v>8910</v>
      </c>
    </row>
    <row r="8281" spans="1:4" ht="30">
      <c r="A8281" s="5" t="str">
        <f>HYPERLINK("https://www.oit.va.gov/Services/TRM/ToolPage.aspx?tid=10131^","Voiceye Maker for MS-Word")</f>
        <v>Voiceye Maker for MS-Word</v>
      </c>
      <c r="B8281" s="4" t="s">
        <v>8893</v>
      </c>
      <c r="C8281" s="8" t="s">
        <v>5</v>
      </c>
      <c r="D8281" s="11" t="s">
        <v>8894</v>
      </c>
    </row>
    <row r="8282" spans="1:4" ht="30">
      <c r="A8282" s="5" t="str">
        <f>HYPERLINK("https://www.oit.va.gov/Services/TRM/ToolPage.aspx?tid=14730^","Everything")</f>
        <v>Everything</v>
      </c>
      <c r="B8282" s="4" t="s">
        <v>2564</v>
      </c>
      <c r="C8282" s="8" t="s">
        <v>5</v>
      </c>
      <c r="D8282" s="11" t="s">
        <v>2565</v>
      </c>
    </row>
    <row r="8283" spans="1:4" ht="30">
      <c r="A8283" s="5" t="str">
        <f>HYPERLINK("https://www.oit.va.gov/Services/TRM/ToolPage.aspx?tid=15652^","Volk Pictor Prestige Studio")</f>
        <v>Volk Pictor Prestige Studio</v>
      </c>
      <c r="B8283" s="4" t="s">
        <v>4980</v>
      </c>
      <c r="C8283" s="8" t="s">
        <v>5</v>
      </c>
      <c r="D8283" s="11" t="s">
        <v>4981</v>
      </c>
    </row>
    <row r="8284" spans="1:4" ht="30">
      <c r="A8284" s="5" t="str">
        <f>HYPERLINK("https://www.oit.va.gov/Services/TRM/ToolPage.aspx?tid=15292^","Vonage Desktop Application")</f>
        <v>Vonage Desktop Application</v>
      </c>
      <c r="B8284" s="4" t="s">
        <v>6152</v>
      </c>
      <c r="C8284" s="8" t="s">
        <v>5</v>
      </c>
      <c r="D8284" s="11" t="s">
        <v>4932</v>
      </c>
    </row>
    <row r="8285" spans="1:4" ht="30">
      <c r="A8285" s="5" t="str">
        <f>HYPERLINK("https://www.oit.va.gov/Services/TRM/ToolPage.aspx?tid=16601^","Doodly")</f>
        <v>Doodly</v>
      </c>
      <c r="B8285" s="4" t="s">
        <v>6533</v>
      </c>
      <c r="C8285" s="8" t="s">
        <v>5</v>
      </c>
      <c r="D8285" s="11" t="s">
        <v>6534</v>
      </c>
    </row>
    <row r="8286" spans="1:4" ht="30">
      <c r="A8286" s="5" t="str">
        <f>HYPERLINK("https://www.oit.va.gov/Services/TRM/ToolPage.aspx?tid=15239^","Voronoi Health Analytics Data Analysis Facilitation Suite (DAFS)")</f>
        <v>Voronoi Health Analytics Data Analysis Facilitation Suite (DAFS)</v>
      </c>
      <c r="B8286" s="4" t="s">
        <v>4982</v>
      </c>
      <c r="C8286" s="8" t="s">
        <v>5</v>
      </c>
      <c r="D8286" s="11" t="s">
        <v>4983</v>
      </c>
    </row>
    <row r="8287" spans="1:4" ht="30">
      <c r="A8287" s="5" t="str">
        <f>HYPERLINK("https://www.oit.va.gov/Services/TRM/ToolPage.aspx?tid=14793^","Canfit")</f>
        <v>Canfit</v>
      </c>
      <c r="B8287" s="4" t="s">
        <v>5087</v>
      </c>
      <c r="C8287" s="8" t="s">
        <v>5</v>
      </c>
      <c r="D8287" s="11" t="s">
        <v>5088</v>
      </c>
    </row>
    <row r="8288" spans="1:4" ht="30">
      <c r="A8288" s="5" t="str">
        <f>HYPERLINK("https://www.oit.va.gov/Services/TRM/ToolPage.aspx?tid=16464^","RISVA")</f>
        <v>RISVA</v>
      </c>
      <c r="B8288" s="4" t="s">
        <v>2922</v>
      </c>
      <c r="C8288" s="8" t="s">
        <v>5</v>
      </c>
      <c r="D8288" s="11" t="s">
        <v>2239</v>
      </c>
    </row>
    <row r="8289" spans="1:4" ht="30">
      <c r="A8289" s="5" t="str">
        <f>HYPERLINK("https://www.oit.va.gov/Services/TRM/ToolPage.aspx?tid=9928^","Revo Uninstaller Pro")</f>
        <v>Revo Uninstaller Pro</v>
      </c>
      <c r="B8289" s="4" t="s">
        <v>2181</v>
      </c>
      <c r="C8289" s="8" t="s">
        <v>5</v>
      </c>
      <c r="D8289" s="11" t="s">
        <v>122</v>
      </c>
    </row>
    <row r="8290" spans="1:4" ht="30">
      <c r="A8290" s="5" t="str">
        <f>HYPERLINK("https://www.oit.va.gov/Services/TRM/ToolPage.aspx?tid=14170^","Free Video Editor")</f>
        <v>Free Video Editor</v>
      </c>
      <c r="B8290" s="4" t="s">
        <v>4154</v>
      </c>
      <c r="C8290" s="8" t="s">
        <v>5</v>
      </c>
      <c r="D8290" s="11" t="s">
        <v>3801</v>
      </c>
    </row>
    <row r="8291" spans="1:4" ht="30">
      <c r="A8291" s="5" t="str">
        <f>HYPERLINK("https://www.oit.va.gov/Services/TRM/ToolPage.aspx?tid=13180^","VSee Messenger")</f>
        <v>VSee Messenger</v>
      </c>
      <c r="B8291" s="4" t="s">
        <v>8895</v>
      </c>
      <c r="C8291" s="8" t="s">
        <v>5</v>
      </c>
      <c r="D8291" s="11" t="s">
        <v>5579</v>
      </c>
    </row>
    <row r="8292" spans="1:4" ht="30">
      <c r="A8292" s="5" t="str">
        <f>HYPERLINK("https://www.oit.va.gov/Services/TRM/ToolPage.aspx?tid=15555^","Vue Devtools")</f>
        <v>Vue Devtools</v>
      </c>
      <c r="B8292" s="4" t="s">
        <v>361</v>
      </c>
      <c r="C8292" s="8" t="s">
        <v>5</v>
      </c>
      <c r="D8292" s="11" t="s">
        <v>362</v>
      </c>
    </row>
    <row r="8293" spans="1:4" ht="30">
      <c r="A8293" s="5" t="str">
        <f>HYPERLINK("https://www.oit.va.gov/Services/TRM/ToolPage.aspx?tid=7556^","SentrySuite Software (SeS)")</f>
        <v>SentrySuite Software (SeS)</v>
      </c>
      <c r="B8293" s="4" t="s">
        <v>327</v>
      </c>
      <c r="C8293" s="8" t="s">
        <v>5</v>
      </c>
      <c r="D8293" s="11" t="s">
        <v>328</v>
      </c>
    </row>
    <row r="8294" spans="1:4" ht="30">
      <c r="A8294" s="5" t="str">
        <f>HYPERLINK("https://www.oit.va.gov/Services/TRM/ToolPage.aspx?tid=7693^","SomnoStar Sleep System")</f>
        <v>SomnoStar Sleep System</v>
      </c>
      <c r="B8294" s="4" t="s">
        <v>327</v>
      </c>
      <c r="C8294" s="8" t="s">
        <v>5</v>
      </c>
      <c r="D8294" s="11" t="s">
        <v>2978</v>
      </c>
    </row>
    <row r="8295" spans="1:4" ht="30">
      <c r="A8295" s="5" t="str">
        <f>HYPERLINK("https://www.oit.va.gov/Services/TRM/ToolPage.aspx?tid=7381^","SentryConnect")</f>
        <v>SentryConnect</v>
      </c>
      <c r="B8295" s="4" t="s">
        <v>327</v>
      </c>
      <c r="C8295" s="8" t="s">
        <v>5</v>
      </c>
      <c r="D8295" s="11" t="s">
        <v>2328</v>
      </c>
    </row>
    <row r="8296" spans="1:4" ht="30">
      <c r="A8296" s="5" t="str">
        <f>HYPERLINK("https://www.oit.va.gov/Services/TRM/ToolPage.aspx?tid=16418^","Vyopta Data Collector")</f>
        <v>Vyopta Data Collector</v>
      </c>
      <c r="B8296" s="4" t="s">
        <v>4985</v>
      </c>
      <c r="C8296" s="8" t="s">
        <v>5</v>
      </c>
      <c r="D8296" s="11" t="s">
        <v>4986</v>
      </c>
    </row>
    <row r="8297" spans="1:4" ht="30">
      <c r="A8297" s="5" t="str">
        <f>HYPERLINK("https://www.oit.va.gov/Services/TRM/ToolPage.aspx?tid=6930^","Vyopta vAnalytics")</f>
        <v>Vyopta vAnalytics</v>
      </c>
      <c r="B8297" s="4" t="s">
        <v>4985</v>
      </c>
      <c r="C8297" s="8" t="s">
        <v>5</v>
      </c>
      <c r="D8297" s="11" t="s">
        <v>288</v>
      </c>
    </row>
    <row r="8298" spans="1:4" ht="30">
      <c r="A8298" s="5" t="str">
        <f>HYPERLINK("https://www.oit.va.gov/Services/TRM/ToolPage.aspx?tid=8430^","Vyopta vPublish")</f>
        <v>Vyopta vPublish</v>
      </c>
      <c r="B8298" s="4" t="s">
        <v>4985</v>
      </c>
      <c r="C8298" s="8" t="s">
        <v>5</v>
      </c>
      <c r="D8298" s="11" t="s">
        <v>8899</v>
      </c>
    </row>
    <row r="8299" spans="1:4" ht="30">
      <c r="A8299" s="5" t="str">
        <f>HYPERLINK("https://www.oit.va.gov/Services/TRM/StandardPage.aspx?tid=5145^","Extensible Markup Language (XML) Query (XQuery)")</f>
        <v>Extensible Markup Language (XML) Query (XQuery)</v>
      </c>
      <c r="B8299" s="4" t="s">
        <v>1229</v>
      </c>
      <c r="C8299" s="8" t="s">
        <v>5</v>
      </c>
      <c r="D8299" s="11" t="s">
        <v>500</v>
      </c>
    </row>
    <row r="8300" spans="1:4" ht="30">
      <c r="A8300" s="5" t="str">
        <f>HYPERLINK("https://www.oit.va.gov/Services/TRM/StandardPage.aspx?tid=5143^","Extensible Stylesheet Language Transformations (XSLT)")</f>
        <v>Extensible Stylesheet Language Transformations (XSLT)</v>
      </c>
      <c r="B8300" s="4" t="s">
        <v>1229</v>
      </c>
      <c r="C8300" s="8" t="s">
        <v>5</v>
      </c>
      <c r="D8300" s="11" t="s">
        <v>1230</v>
      </c>
    </row>
    <row r="8301" spans="1:4" ht="30">
      <c r="A8301" s="5" t="str">
        <f>HYPERLINK("https://www.oit.va.gov/Services/TRM/StandardPage.aspx?tid=5152^","Extensible Markup Language (XML) Schema")</f>
        <v>Extensible Markup Language (XML) Schema</v>
      </c>
      <c r="B8301" s="4" t="s">
        <v>1229</v>
      </c>
      <c r="C8301" s="8" t="s">
        <v>5</v>
      </c>
      <c r="D8301" s="11" t="s">
        <v>668</v>
      </c>
    </row>
    <row r="8302" spans="1:4" ht="30">
      <c r="A8302" s="5" t="str">
        <f>HYPERLINK("https://www.oit.va.gov/Services/TRM/StandardPage.aspx?tid=6405^","Resource Description Framework (RDF)")</f>
        <v>Resource Description Framework (RDF)</v>
      </c>
      <c r="B8302" s="4" t="s">
        <v>1229</v>
      </c>
      <c r="C8302" s="8" t="s">
        <v>5</v>
      </c>
      <c r="D8302" s="11" t="s">
        <v>5479</v>
      </c>
    </row>
    <row r="8303" spans="1:4" ht="30">
      <c r="A8303" s="5" t="str">
        <f>HYPERLINK("https://www.oit.va.gov/Services/TRM/StandardPage.aspx?tid=5135^","Simple Object Access Protocol (SOAP)")</f>
        <v>Simple Object Access Protocol (SOAP)</v>
      </c>
      <c r="B8303" s="4" t="s">
        <v>1229</v>
      </c>
      <c r="C8303" s="8" t="s">
        <v>5</v>
      </c>
      <c r="D8303" s="11" t="s">
        <v>5399</v>
      </c>
    </row>
    <row r="8304" spans="1:4" ht="30">
      <c r="A8304" s="5" t="str">
        <f>HYPERLINK("https://www.oit.va.gov/Services/TRM/StandardPage.aspx?tid=8336^","Web Content Accessibility Guidelines (WCAG)")</f>
        <v>Web Content Accessibility Guidelines (WCAG)</v>
      </c>
      <c r="B8304" s="4" t="s">
        <v>1229</v>
      </c>
      <c r="C8304" s="8" t="s">
        <v>5</v>
      </c>
      <c r="D8304" s="11" t="s">
        <v>5587</v>
      </c>
    </row>
    <row r="8305" spans="1:4" ht="30">
      <c r="A8305" s="5" t="str">
        <f>HYPERLINK("https://www.oit.va.gov/Services/TRM/StandardPage.aspx?tid=24^","Web Services Description Language (WSDL)")</f>
        <v>Web Services Description Language (WSDL)</v>
      </c>
      <c r="B8305" s="4" t="s">
        <v>1229</v>
      </c>
      <c r="C8305" s="8" t="s">
        <v>5</v>
      </c>
      <c r="D8305" s="11" t="s">
        <v>5592</v>
      </c>
    </row>
    <row r="8306" spans="1:4" ht="30">
      <c r="A8306" s="5" t="str">
        <f>HYPERLINK("https://www.oit.va.gov/Services/TRM/StandardPage.aspx?tid=5805^","WS-Addressing")</f>
        <v>WS-Addressing</v>
      </c>
      <c r="B8306" s="4" t="s">
        <v>1229</v>
      </c>
      <c r="C8306" s="8" t="s">
        <v>5</v>
      </c>
      <c r="D8306" s="11" t="s">
        <v>5592</v>
      </c>
    </row>
    <row r="8307" spans="1:4" ht="30">
      <c r="A8307" s="5" t="str">
        <f>HYPERLINK("https://www.oit.va.gov/Services/TRM/StandardPage.aspx?tid=7388^","XML Key Management Specification (XKMS)")</f>
        <v>XML Key Management Specification (XKMS)</v>
      </c>
      <c r="B8307" s="4" t="s">
        <v>1229</v>
      </c>
      <c r="C8307" s="8" t="s">
        <v>5</v>
      </c>
      <c r="D8307" s="11" t="s">
        <v>5602</v>
      </c>
    </row>
    <row r="8308" spans="1:4" ht="30">
      <c r="A8308" s="5" t="str">
        <f>HYPERLINK("https://www.oit.va.gov/Services/TRM/StandardPage.aspx?tid=8211^","Document Object Model (DOM) Level 3 Core Specification")</f>
        <v>Document Object Model (DOM) Level 3 Core Specification</v>
      </c>
      <c r="B8308" s="4" t="s">
        <v>1229</v>
      </c>
      <c r="C8308" s="8" t="s">
        <v>5</v>
      </c>
      <c r="D8308" s="11" t="s">
        <v>5772</v>
      </c>
    </row>
    <row r="8309" spans="1:4" ht="30">
      <c r="A8309" s="5" t="str">
        <f>HYPERLINK("https://www.oit.va.gov/Services/TRM/StandardPage.aspx?tid=5274^","Extensible Markup Language (XML) Signature Syntax and Processing (XML-Sig)")</f>
        <v>Extensible Markup Language (XML) Signature Syntax and Processing (XML-Sig)</v>
      </c>
      <c r="B8309" s="4" t="s">
        <v>1229</v>
      </c>
      <c r="C8309" s="8" t="s">
        <v>5</v>
      </c>
      <c r="D8309" s="11" t="s">
        <v>1640</v>
      </c>
    </row>
    <row r="8310" spans="1:4" ht="30">
      <c r="A8310" s="5" t="str">
        <f>HYPERLINK("https://www.oit.va.gov/Services/TRM/StandardPage.aspx?tid=7368^","XML-binary Optimized Packaging (XOP)")</f>
        <v>XML-binary Optimized Packaging (XOP)</v>
      </c>
      <c r="B8310" s="4" t="s">
        <v>1229</v>
      </c>
      <c r="C8310" s="8" t="s">
        <v>5</v>
      </c>
      <c r="D8310" s="11" t="s">
        <v>6171</v>
      </c>
    </row>
    <row r="8311" spans="1:4" ht="30">
      <c r="A8311" s="5" t="str">
        <f>HYPERLINK("https://www.oit.va.gov/Services/TRM/StandardPage.aspx?tid=7360^","Advanced Extensible Markup Language (XML) Schema Patterns for Databinding")</f>
        <v>Advanced Extensible Markup Language (XML) Schema Patterns for Databinding</v>
      </c>
      <c r="B8311" s="4" t="s">
        <v>1229</v>
      </c>
      <c r="C8311" s="8" t="s">
        <v>5</v>
      </c>
      <c r="D8311" s="11" t="s">
        <v>84</v>
      </c>
    </row>
    <row r="8312" spans="1:4" ht="30">
      <c r="A8312" s="5" t="str">
        <f>HYPERLINK("https://www.oit.va.gov/Services/TRM/StandardPage.aspx?tid=5194^","Cascading Style Sheets (CSS)")</f>
        <v>Cascading Style Sheets (CSS)</v>
      </c>
      <c r="B8312" s="4" t="s">
        <v>1229</v>
      </c>
      <c r="C8312" s="8" t="s">
        <v>5</v>
      </c>
      <c r="D8312" s="11" t="s">
        <v>6387</v>
      </c>
    </row>
    <row r="8313" spans="1:4" ht="30">
      <c r="A8313" s="5" t="str">
        <f>HYPERLINK("https://www.oit.va.gov/Services/TRM/StandardPage.aspx?tid=5199^","Cascading Style Sheets Mobile Profile (CSS-Mobile)")</f>
        <v>Cascading Style Sheets Mobile Profile (CSS-Mobile)</v>
      </c>
      <c r="B8313" s="4" t="s">
        <v>1229</v>
      </c>
      <c r="C8313" s="8" t="s">
        <v>5</v>
      </c>
      <c r="D8313" s="11" t="s">
        <v>1415</v>
      </c>
    </row>
    <row r="8314" spans="1:4" ht="30">
      <c r="A8314" s="5" t="str">
        <f>HYPERLINK("https://www.oit.va.gov/Services/TRM/StandardPage.aspx?tid=5202^","Extensible HyperText Markup Language (XHTML)")</f>
        <v>Extensible HyperText Markup Language (XHTML)</v>
      </c>
      <c r="B8314" s="4" t="s">
        <v>1229</v>
      </c>
      <c r="C8314" s="8" t="s">
        <v>5</v>
      </c>
      <c r="D8314" s="11" t="s">
        <v>2525</v>
      </c>
    </row>
    <row r="8315" spans="1:4" ht="30">
      <c r="A8315" s="5" t="str">
        <f>HYPERLINK("https://www.oit.va.gov/Services/TRM/StandardPage.aspx?tid=5140^","Extensible Markup Language (XML)")</f>
        <v>Extensible Markup Language (XML)</v>
      </c>
      <c r="B8315" s="4" t="s">
        <v>1229</v>
      </c>
      <c r="C8315" s="8" t="s">
        <v>5</v>
      </c>
      <c r="D8315" s="11" t="s">
        <v>1255</v>
      </c>
    </row>
    <row r="8316" spans="1:4" ht="30">
      <c r="A8316" s="5" t="str">
        <f>HYPERLINK("https://www.oit.va.gov/Services/TRM/StandardPage.aspx?tid=5794^","Extensible Stylesheet Language - Formatting Objects (XSL-FO)")</f>
        <v>Extensible Stylesheet Language - Formatting Objects (XSL-FO)</v>
      </c>
      <c r="B8316" s="4" t="s">
        <v>1229</v>
      </c>
      <c r="C8316" s="8" t="s">
        <v>5</v>
      </c>
      <c r="D8316" s="11" t="s">
        <v>3105</v>
      </c>
    </row>
    <row r="8317" spans="1:4" ht="30">
      <c r="A8317" s="5" t="str">
        <f>HYPERLINK("https://www.oit.va.gov/Services/TRM/StandardPage.aspx?tid=5187^","Graphics Interchange Format (GIF)")</f>
        <v>Graphics Interchange Format (GIF)</v>
      </c>
      <c r="B8317" s="4" t="s">
        <v>1229</v>
      </c>
      <c r="C8317" s="8" t="s">
        <v>5</v>
      </c>
      <c r="D8317" s="11" t="s">
        <v>6667</v>
      </c>
    </row>
    <row r="8318" spans="1:4" ht="30">
      <c r="A8318" s="5" t="str">
        <f>HYPERLINK("https://www.oit.va.gov/Services/TRM/StandardPage.aspx?tid=5855^","Web Services Policy (WS-Policy)")</f>
        <v>Web Services Policy (WS-Policy)</v>
      </c>
      <c r="B8318" s="4" t="s">
        <v>1229</v>
      </c>
      <c r="C8318" s="8" t="s">
        <v>5</v>
      </c>
      <c r="D8318" s="11" t="s">
        <v>1141</v>
      </c>
    </row>
    <row r="8319" spans="1:4" ht="30">
      <c r="A8319" s="5" t="str">
        <f>HYPERLINK("https://www.oit.va.gov/Services/TRM/StandardPage.aspx?tid=7372^","Canonical Extensible Markup Language (XML)")</f>
        <v>Canonical Extensible Markup Language (XML)</v>
      </c>
      <c r="B8319" s="4" t="s">
        <v>1229</v>
      </c>
      <c r="C8319" s="8" t="s">
        <v>5</v>
      </c>
      <c r="D8319" s="11" t="s">
        <v>1335</v>
      </c>
    </row>
    <row r="8320" spans="1:4" ht="30">
      <c r="A8320" s="5" t="str">
        <f>HYPERLINK("https://www.oit.va.gov/Services/TRM/StandardPage.aspx?tid=5204^","Datatypes for Document Type Definitions (DT4DTD)")</f>
        <v>Datatypes for Document Type Definitions (DT4DTD)</v>
      </c>
      <c r="B8320" s="4" t="s">
        <v>1229</v>
      </c>
      <c r="C8320" s="8" t="s">
        <v>5</v>
      </c>
      <c r="D8320" s="11" t="s">
        <v>1270</v>
      </c>
    </row>
    <row r="8321" spans="1:4" ht="30">
      <c r="A8321" s="5" t="str">
        <f>HYPERLINK("https://www.oit.va.gov/Services/TRM/StandardPage.aspx?tid=9522^","Default Address Selection for Internet Protocol Version 6 (IPv6)")</f>
        <v>Default Address Selection for Internet Protocol Version 6 (IPv6)</v>
      </c>
      <c r="B8321" s="4" t="s">
        <v>1229</v>
      </c>
      <c r="C8321" s="8" t="s">
        <v>5</v>
      </c>
      <c r="D8321" s="11" t="s">
        <v>7750</v>
      </c>
    </row>
    <row r="8322" spans="1:4" ht="30">
      <c r="A8322" s="5" t="str">
        <f>HYPERLINK("https://www.oit.va.gov/Services/TRM/StandardPage.aspx?tid=7385^","Extensible Markup Language (XML) Base")</f>
        <v>Extensible Markup Language (XML) Base</v>
      </c>
      <c r="B8322" s="4" t="s">
        <v>1229</v>
      </c>
      <c r="C8322" s="8" t="s">
        <v>5</v>
      </c>
      <c r="D8322" s="11" t="s">
        <v>7899</v>
      </c>
    </row>
    <row r="8323" spans="1:4" ht="30">
      <c r="A8323" s="5" t="str">
        <f>HYPERLINK("https://www.oit.va.gov/Services/TRM/StandardPage.aspx?tid=7386^","Extensible Markup Language (XML) Events")</f>
        <v>Extensible Markup Language (XML) Events</v>
      </c>
      <c r="B8323" s="4" t="s">
        <v>1229</v>
      </c>
      <c r="C8323" s="8" t="s">
        <v>5</v>
      </c>
      <c r="D8323" s="11" t="s">
        <v>7899</v>
      </c>
    </row>
    <row r="8324" spans="1:4" ht="30">
      <c r="A8324" s="5" t="str">
        <f>HYPERLINK("https://www.oit.va.gov/Services/TRM/StandardPage.aspx?tid=7366^","Extensible Markup Language (XML) Inclusions (XInclude)")</f>
        <v>Extensible Markup Language (XML) Inclusions (XInclude)</v>
      </c>
      <c r="B8324" s="4" t="s">
        <v>1229</v>
      </c>
      <c r="C8324" s="8" t="s">
        <v>5</v>
      </c>
      <c r="D8324" s="11" t="s">
        <v>7899</v>
      </c>
    </row>
    <row r="8325" spans="1:4" ht="30">
      <c r="A8325" s="5" t="str">
        <f>HYPERLINK("https://www.oit.va.gov/Services/TRM/StandardPage.aspx?tid=5151^","Extensible Markup Language (XML) Namespaces (NS)")</f>
        <v>Extensible Markup Language (XML) Namespaces (NS)</v>
      </c>
      <c r="B8325" s="4" t="s">
        <v>1229</v>
      </c>
      <c r="C8325" s="8" t="s">
        <v>5</v>
      </c>
      <c r="D8325" s="11" t="s">
        <v>2692</v>
      </c>
    </row>
    <row r="8326" spans="1:4" ht="30">
      <c r="A8326" s="5" t="str">
        <f>HYPERLINK("https://www.oit.va.gov/Services/TRM/StandardPage.aspx?tid=5154^","Extensible Markup Language (XML) Path Language (XPath)")</f>
        <v>Extensible Markup Language (XML) Path Language (XPath)</v>
      </c>
      <c r="B8326" s="4" t="s">
        <v>1229</v>
      </c>
      <c r="C8326" s="8" t="s">
        <v>5</v>
      </c>
      <c r="D8326" s="11" t="s">
        <v>2683</v>
      </c>
    </row>
    <row r="8327" spans="1:4" ht="30">
      <c r="A8327" s="5" t="str">
        <f>HYPERLINK("https://www.oit.va.gov/Services/TRM/StandardPage.aspx?tid=7389^","Extensible Markup Language (XML) Pipeline")</f>
        <v>Extensible Markup Language (XML) Pipeline</v>
      </c>
      <c r="B8327" s="4" t="s">
        <v>1229</v>
      </c>
      <c r="C8327" s="8" t="s">
        <v>5</v>
      </c>
      <c r="D8327" s="11" t="s">
        <v>7901</v>
      </c>
    </row>
    <row r="8328" spans="1:4" ht="30">
      <c r="A8328" s="5" t="str">
        <f>HYPERLINK("https://www.oit.va.gov/Services/TRM/StandardPage.aspx?tid=5153^","Extensible Markup Language Information Set (XML Infoset)")</f>
        <v>Extensible Markup Language Information Set (XML Infoset)</v>
      </c>
      <c r="B8328" s="4" t="s">
        <v>1229</v>
      </c>
      <c r="C8328" s="8" t="s">
        <v>5</v>
      </c>
      <c r="D8328" s="11" t="s">
        <v>7900</v>
      </c>
    </row>
    <row r="8329" spans="1:4" ht="30">
      <c r="A8329" s="5" t="str">
        <f>HYPERLINK("https://www.oit.va.gov/Services/TRM/StandardPage.aspx?tid=7378^","Internationalization Tag Set (ITS)")</f>
        <v>Internationalization Tag Set (ITS)</v>
      </c>
      <c r="B8329" s="4" t="s">
        <v>1229</v>
      </c>
      <c r="C8329" s="8" t="s">
        <v>5</v>
      </c>
      <c r="D8329" s="11" t="s">
        <v>8095</v>
      </c>
    </row>
    <row r="8330" spans="1:4" ht="30">
      <c r="A8330" s="5" t="str">
        <f>HYPERLINK("https://www.oit.va.gov/Services/TRM/StandardPage.aspx?tid=5193^","Scalable Vector Graphics (SVG)")</f>
        <v>Scalable Vector Graphics (SVG)</v>
      </c>
      <c r="B8330" s="4" t="s">
        <v>1229</v>
      </c>
      <c r="C8330" s="8" t="s">
        <v>5</v>
      </c>
      <c r="D8330" s="11" t="s">
        <v>2825</v>
      </c>
    </row>
    <row r="8331" spans="1:4" ht="30">
      <c r="A8331" s="5" t="str">
        <f>HYPERLINK("https://www.oit.va.gov/Services/TRM/StandardPage.aspx?tid=9544^","Simple Object Access Protocol (SOAP) Message Transmission Optimization Mechanism (MTOM)")</f>
        <v>Simple Object Access Protocol (SOAP) Message Transmission Optimization Mechanism (MTOM)</v>
      </c>
      <c r="B8331" s="4" t="s">
        <v>1229</v>
      </c>
      <c r="C8331" s="8" t="s">
        <v>5</v>
      </c>
      <c r="D8331" s="11" t="s">
        <v>8656</v>
      </c>
    </row>
    <row r="8332" spans="1:4" ht="30">
      <c r="A8332" s="5" t="str">
        <f>HYPERLINK("https://www.oit.va.gov/Services/TRM/StandardPage.aspx?tid=8063^","State Chart Extensible Markup Language (SCXML)")</f>
        <v>State Chart Extensible Markup Language (SCXML)</v>
      </c>
      <c r="B8332" s="4" t="s">
        <v>1229</v>
      </c>
      <c r="C8332" s="8" t="s">
        <v>5</v>
      </c>
      <c r="D8332" s="11" t="s">
        <v>6913</v>
      </c>
    </row>
    <row r="8333" spans="1:4" ht="30">
      <c r="A8333" s="5" t="str">
        <f>HYPERLINK("https://www.oit.va.gov/Services/TRM/StandardPage.aspx?tid=6782^","Web Ontology Language (OWL)")</f>
        <v>Web Ontology Language (OWL)</v>
      </c>
      <c r="B8333" s="4" t="s">
        <v>1229</v>
      </c>
      <c r="C8333" s="8" t="s">
        <v>5</v>
      </c>
      <c r="D8333" s="11" t="s">
        <v>8913</v>
      </c>
    </row>
    <row r="8334" spans="1:4" ht="30">
      <c r="A8334" s="5" t="str">
        <f>HYPERLINK("https://www.oit.va.gov/Services/TRM/StandardPage.aspx?tid=7365^","XForms")</f>
        <v>XForms</v>
      </c>
      <c r="B8334" s="4" t="s">
        <v>1229</v>
      </c>
      <c r="C8334" s="8" t="s">
        <v>5</v>
      </c>
      <c r="D8334" s="11" t="s">
        <v>3071</v>
      </c>
    </row>
    <row r="8335" spans="1:4" ht="30">
      <c r="A8335" s="5" t="str">
        <f>HYPERLINK("https://www.oit.va.gov/Services/TRM/StandardPage.aspx?tid=5155^","XLink")</f>
        <v>XLink</v>
      </c>
      <c r="B8335" s="4" t="s">
        <v>1229</v>
      </c>
      <c r="C8335" s="8" t="s">
        <v>5</v>
      </c>
      <c r="D8335" s="11" t="s">
        <v>533</v>
      </c>
    </row>
    <row r="8336" spans="1:4" ht="30">
      <c r="A8336" s="5" t="str">
        <f>HYPERLINK("https://www.oit.va.gov/Services/TRM/StandardPage.aspx?tid=7359^","XML Encryption")</f>
        <v>XML Encryption</v>
      </c>
      <c r="B8336" s="4" t="s">
        <v>1229</v>
      </c>
      <c r="C8336" s="8" t="s">
        <v>5</v>
      </c>
      <c r="D8336" s="11" t="s">
        <v>8954</v>
      </c>
    </row>
    <row r="8337" spans="1:4" ht="30">
      <c r="A8337" s="5" t="str">
        <f>HYPERLINK("https://www.oit.va.gov/Services/TRM/StandardPage.aspx?tid=7387^","XML Fragment Interchange")</f>
        <v>XML Fragment Interchange</v>
      </c>
      <c r="B8337" s="4" t="s">
        <v>1229</v>
      </c>
      <c r="C8337" s="8" t="s">
        <v>5</v>
      </c>
      <c r="D8337" s="11" t="s">
        <v>8964</v>
      </c>
    </row>
    <row r="8338" spans="1:4" ht="30">
      <c r="A8338" s="5" t="str">
        <f>HYPERLINK("https://www.oit.va.gov/Services/TRM/StandardPage.aspx?tid=7367^","xml:id")</f>
        <v>xml:id</v>
      </c>
      <c r="B8338" s="4" t="s">
        <v>1229</v>
      </c>
      <c r="C8338" s="8" t="s">
        <v>5</v>
      </c>
      <c r="D8338" s="11" t="s">
        <v>5617</v>
      </c>
    </row>
    <row r="8339" spans="1:4" ht="30">
      <c r="A8339" s="5" t="str">
        <f>HYPERLINK("https://www.oit.va.gov/Services/TRM/StandardPage.aspx?tid=5203^","XPointer Framework")</f>
        <v>XPointer Framework</v>
      </c>
      <c r="B8339" s="4" t="s">
        <v>1229</v>
      </c>
      <c r="C8339" s="8" t="s">
        <v>5</v>
      </c>
      <c r="D8339" s="11" t="s">
        <v>816</v>
      </c>
    </row>
    <row r="8340" spans="1:4" ht="30">
      <c r="A8340" s="5" t="str">
        <f>HYPERLINK("https://www.oit.va.gov/Services/TRM/ToolPage.aspx?tid=8075^","Wacom Bamboo Driver")</f>
        <v>Wacom Bamboo Driver</v>
      </c>
      <c r="B8340" s="4" t="s">
        <v>3676</v>
      </c>
      <c r="C8340" s="8" t="s">
        <v>5</v>
      </c>
      <c r="D8340" s="11" t="s">
        <v>3677</v>
      </c>
    </row>
    <row r="8341" spans="1:4" ht="30">
      <c r="A8341" s="5" t="str">
        <f>HYPERLINK("https://www.oit.va.gov/Services/TRM/ToolPage.aspx?tid=13879^","Wacom Cintiq Pro 24 Driver")</f>
        <v>Wacom Cintiq Pro 24 Driver</v>
      </c>
      <c r="B8341" s="4" t="s">
        <v>3676</v>
      </c>
      <c r="C8341" s="8" t="s">
        <v>5</v>
      </c>
      <c r="D8341" s="11" t="s">
        <v>2039</v>
      </c>
    </row>
    <row r="8342" spans="1:4" ht="30">
      <c r="A8342" s="5" t="str">
        <f>HYPERLINK("https://www.oit.va.gov/Services/TRM/ToolPage.aspx?tid=15573^","Wacom Color Manager")</f>
        <v>Wacom Color Manager</v>
      </c>
      <c r="B8342" s="4" t="s">
        <v>3676</v>
      </c>
      <c r="C8342" s="8" t="s">
        <v>5</v>
      </c>
      <c r="D8342" s="11" t="s">
        <v>8900</v>
      </c>
    </row>
    <row r="8343" spans="1:4" ht="30">
      <c r="A8343" s="5" t="str">
        <f>HYPERLINK("https://www.oit.va.gov/Services/TRM/ToolPage.aspx?tid=13744^","Weka")</f>
        <v>Weka</v>
      </c>
      <c r="B8343" s="4" t="s">
        <v>7323</v>
      </c>
      <c r="C8343" s="8" t="s">
        <v>5</v>
      </c>
      <c r="D8343" s="11" t="s">
        <v>7324</v>
      </c>
    </row>
    <row r="8344" spans="1:4" ht="30">
      <c r="A8344" s="5" t="str">
        <f>HYPERLINK("https://www.oit.va.gov/Services/TRM/ToolPage.aspx?tid=14025^","CakeResque")</f>
        <v>CakeResque</v>
      </c>
      <c r="B8344" s="4" t="s">
        <v>7595</v>
      </c>
      <c r="C8344" s="8" t="s">
        <v>5</v>
      </c>
      <c r="D8344" s="11" t="s">
        <v>7596</v>
      </c>
    </row>
    <row r="8345" spans="1:4" ht="30">
      <c r="A8345" s="5" t="str">
        <f>HYPERLINK("https://www.oit.va.gov/Services/TRM/ToolPage.aspx?tid=8529^","Waratek Enterprise")</f>
        <v>Waratek Enterprise</v>
      </c>
      <c r="B8345" s="4" t="s">
        <v>8903</v>
      </c>
      <c r="C8345" s="8" t="s">
        <v>5</v>
      </c>
      <c r="D8345" s="11" t="s">
        <v>7890</v>
      </c>
    </row>
    <row r="8346" spans="1:4" ht="30">
      <c r="A8346" s="5" t="str">
        <f>HYPERLINK("https://www.oit.va.gov/Services/TRM/ToolPage.aspx?tid=14487^","Connectome Workbench")</f>
        <v>Connectome Workbench</v>
      </c>
      <c r="B8346" s="4" t="s">
        <v>2489</v>
      </c>
      <c r="C8346" s="8" t="s">
        <v>5</v>
      </c>
      <c r="D8346" s="11" t="s">
        <v>403</v>
      </c>
    </row>
    <row r="8347" spans="1:4" ht="30">
      <c r="A8347" s="5" t="str">
        <f>HYPERLINK("https://www.oit.va.gov/Services/TRM/ToolPage.aspx?tid=7922^","WaspLabeler +2D")</f>
        <v>WaspLabeler +2D</v>
      </c>
      <c r="B8347" s="4" t="s">
        <v>3678</v>
      </c>
      <c r="C8347" s="8" t="s">
        <v>5</v>
      </c>
      <c r="D8347" s="11" t="s">
        <v>3679</v>
      </c>
    </row>
    <row r="8348" spans="1:4" ht="30">
      <c r="A8348" s="5" t="str">
        <f>HYPERLINK("https://www.oit.va.gov/Services/TRM/ToolPage.aspx?tid=8107^","Inventory Control")</f>
        <v>Inventory Control</v>
      </c>
      <c r="B8348" s="4" t="s">
        <v>3678</v>
      </c>
      <c r="C8348" s="8" t="s">
        <v>5</v>
      </c>
      <c r="D8348" s="11" t="s">
        <v>2686</v>
      </c>
    </row>
    <row r="8349" spans="1:4" ht="30">
      <c r="A8349" s="5" t="str">
        <f>HYPERLINK("https://www.oit.va.gov/Services/TRM/ToolPage.aspx?tid=13164^","Barcode Maker")</f>
        <v>Barcode Maker</v>
      </c>
      <c r="B8349" s="4" t="s">
        <v>3678</v>
      </c>
      <c r="C8349" s="8" t="s">
        <v>5</v>
      </c>
      <c r="D8349" s="11" t="s">
        <v>1456</v>
      </c>
    </row>
    <row r="8350" spans="1:4" ht="30">
      <c r="A8350" s="5" t="str">
        <f>HYPERLINK("https://www.oit.va.gov/Services/TRM/ToolPage.aspx?tid=15272^","Watched Browser")</f>
        <v>Watched Browser</v>
      </c>
      <c r="B8350" s="4" t="s">
        <v>8904</v>
      </c>
      <c r="C8350" s="8" t="s">
        <v>5</v>
      </c>
      <c r="D8350" s="11" t="s">
        <v>8449</v>
      </c>
    </row>
    <row r="8351" spans="1:4" ht="30">
      <c r="A8351" s="5" t="str">
        <f>HYPERLINK("https://www.oit.va.gov/Services/TRM/ToolPage.aspx?tid=8656^","Watchfire Ignite")</f>
        <v>Watchfire Ignite</v>
      </c>
      <c r="B8351" s="4" t="s">
        <v>4987</v>
      </c>
      <c r="C8351" s="8" t="s">
        <v>5</v>
      </c>
      <c r="D8351" s="11" t="s">
        <v>2070</v>
      </c>
    </row>
    <row r="8352" spans="1:4" ht="30">
      <c r="A8352" s="5" t="str">
        <f>HYPERLINK("https://www.oit.va.gov/Services/TRM/ToolPage.aspx?tid=10091^","Evidence Library Express")</f>
        <v>Evidence Library Express</v>
      </c>
      <c r="B8352" s="4" t="s">
        <v>7883</v>
      </c>
      <c r="C8352" s="8" t="s">
        <v>5</v>
      </c>
      <c r="D8352" s="11" t="s">
        <v>7884</v>
      </c>
    </row>
    <row r="8353" spans="1:4" ht="30">
      <c r="A8353" s="5" t="str">
        <f>HYPERLINK("https://www.oit.va.gov/Services/TRM/ToolPage.aspx?tid=13117^","Blueworx Intelligent Voice Automation (IVA)")</f>
        <v>Blueworx Intelligent Voice Automation (IVA)</v>
      </c>
      <c r="B8353" s="4" t="s">
        <v>6356</v>
      </c>
      <c r="C8353" s="8" t="s">
        <v>5</v>
      </c>
      <c r="D8353" s="11" t="s">
        <v>2395</v>
      </c>
    </row>
    <row r="8354" spans="1:4" ht="30">
      <c r="A8354" s="5" t="str">
        <f>HYPERLINK("https://www.oit.va.gov/Services/TRM/ToolPage.aspx?tid=13113^","Caller Elected Callback")</f>
        <v>Caller Elected Callback</v>
      </c>
      <c r="B8354" s="4" t="s">
        <v>6356</v>
      </c>
      <c r="C8354" s="8" t="s">
        <v>5</v>
      </c>
      <c r="D8354" s="11" t="s">
        <v>7606</v>
      </c>
    </row>
    <row r="8355" spans="1:4" ht="30">
      <c r="A8355" s="5" t="str">
        <f>HYPERLINK("https://www.oit.va.gov/Services/TRM/ToolPage.aspx?tid=14792^","Waterfox")</f>
        <v>Waterfox</v>
      </c>
      <c r="B8355" s="4" t="s">
        <v>7310</v>
      </c>
      <c r="C8355" s="8" t="s">
        <v>5</v>
      </c>
      <c r="D8355" s="11" t="s">
        <v>7311</v>
      </c>
    </row>
    <row r="8356" spans="1:4" ht="30">
      <c r="A8356" s="5" t="str">
        <f>HYPERLINK("https://www.oit.va.gov/Services/TRM/ToolPage.aspx?tid=9688^","MassLynx Mass Spectrometry (MS) Software")</f>
        <v>MassLynx Mass Spectrometry (MS) Software</v>
      </c>
      <c r="B8356" s="4" t="s">
        <v>5324</v>
      </c>
      <c r="C8356" s="8" t="s">
        <v>5</v>
      </c>
      <c r="D8356" s="11" t="s">
        <v>5325</v>
      </c>
    </row>
    <row r="8357" spans="1:4" ht="30">
      <c r="A8357" s="5" t="str">
        <f>HYPERLINK("https://www.oit.va.gov/Services/TRM/ToolPage.aspx?tid=10314^","Extensible Markup Language writer (XMLwriter)")</f>
        <v>Extensible Markup Language writer (XMLwriter)</v>
      </c>
      <c r="B8357" s="4" t="s">
        <v>2576</v>
      </c>
      <c r="C8357" s="8" t="s">
        <v>5</v>
      </c>
      <c r="D8357" s="11" t="s">
        <v>2577</v>
      </c>
    </row>
    <row r="8358" spans="1:4" ht="30">
      <c r="A8358" s="5" t="str">
        <f>HYPERLINK("https://www.oit.va.gov/Services/TRM/ToolPage.aspx?tid=5610^","Embassy Trust Suite (ETS)")</f>
        <v>Embassy Trust Suite (ETS)</v>
      </c>
      <c r="B8358" s="4" t="s">
        <v>5172</v>
      </c>
      <c r="C8358" s="8" t="s">
        <v>5</v>
      </c>
      <c r="D8358" s="11" t="s">
        <v>3316</v>
      </c>
    </row>
    <row r="8359" spans="1:4" ht="30">
      <c r="A8359" s="5" t="str">
        <f>HYPERLINK("https://www.oit.va.gov/Services/TRM/ToolPage.aspx?tid=7059^","Ogre")</f>
        <v>Ogre</v>
      </c>
      <c r="B8359" s="4" t="s">
        <v>789</v>
      </c>
      <c r="C8359" s="8" t="s">
        <v>5</v>
      </c>
      <c r="D8359" s="11" t="s">
        <v>790</v>
      </c>
    </row>
    <row r="8360" spans="1:4" ht="30">
      <c r="A8360" s="5" t="str">
        <f>HYPERLINK("https://www.oit.va.gov/Services/TRM/ToolPage.aspx?tid=7809^","Igor Pro")</f>
        <v>Igor Pro</v>
      </c>
      <c r="B8360" s="4" t="s">
        <v>4248</v>
      </c>
      <c r="C8360" s="8" t="s">
        <v>5</v>
      </c>
      <c r="D8360" s="11" t="s">
        <v>759</v>
      </c>
    </row>
    <row r="8361" spans="1:4" ht="30">
      <c r="A8361" s="5" t="str">
        <f>HYPERLINK("https://www.oit.va.gov/Services/TRM/ToolPage.aspx?tid=6177^","WaveWare Enterprise Messaging Client")</f>
        <v>WaveWare Enterprise Messaging Client</v>
      </c>
      <c r="B8361" s="4" t="s">
        <v>8907</v>
      </c>
      <c r="C8361" s="8" t="s">
        <v>5</v>
      </c>
      <c r="D8361" s="11" t="s">
        <v>8908</v>
      </c>
    </row>
    <row r="8362" spans="1:4" ht="30">
      <c r="A8362" s="5" t="str">
        <f>HYPERLINK("https://www.oit.va.gov/Services/TRM/ToolPage.aspx?tid=16695^","Wazuh Security Information and Event Management (SIEM)")</f>
        <v>Wazuh Security Information and Event Management (SIEM)</v>
      </c>
      <c r="B8362" s="4" t="s">
        <v>3630</v>
      </c>
      <c r="C8362" s="8" t="s">
        <v>5</v>
      </c>
      <c r="D8362" s="11" t="s">
        <v>3631</v>
      </c>
    </row>
    <row r="8363" spans="1:4" ht="30">
      <c r="A8363" s="5" t="str">
        <f>HYPERLINK("https://www.oit.va.gov/Services/TRM/ToolPage.aspx?tid=14558^","Flux")</f>
        <v>Flux</v>
      </c>
      <c r="B8363" s="4" t="s">
        <v>6622</v>
      </c>
      <c r="C8363" s="8" t="s">
        <v>5</v>
      </c>
      <c r="D8363" s="11" t="s">
        <v>3928</v>
      </c>
    </row>
    <row r="8364" spans="1:4" ht="30">
      <c r="A8364" s="5" t="str">
        <f>HYPERLINK("https://www.oit.va.gov/Services/TRM/ToolPage.aspx?tid=7645^","WonderDesk Structured Query Language (SQL)")</f>
        <v>WonderDesk Structured Query Language (SQL)</v>
      </c>
      <c r="B8364" s="4" t="s">
        <v>7338</v>
      </c>
      <c r="C8364" s="8" t="s">
        <v>5</v>
      </c>
      <c r="D8364" s="11" t="s">
        <v>7339</v>
      </c>
    </row>
    <row r="8365" spans="1:4" ht="30">
      <c r="A8365" s="5" t="str">
        <f>HYPERLINK("https://www.oit.va.gov/Services/TRM/ToolPage.aspx?tid=10107^","Wave Evaluation Tool")</f>
        <v>Wave Evaluation Tool</v>
      </c>
      <c r="B8365" s="4" t="s">
        <v>4988</v>
      </c>
      <c r="C8365" s="8" t="s">
        <v>5</v>
      </c>
      <c r="D8365" s="11" t="s">
        <v>4989</v>
      </c>
    </row>
    <row r="8366" spans="1:4" ht="30">
      <c r="A8366" s="5" t="str">
        <f>HYPERLINK("https://www.oit.va.gov/Services/TRM/ToolPage.aspx?tid=7033^","WAVE Accessibility Extension")</f>
        <v>WAVE Accessibility Extension</v>
      </c>
      <c r="B8366" s="4" t="s">
        <v>4988</v>
      </c>
      <c r="C8366" s="8" t="s">
        <v>5</v>
      </c>
      <c r="D8366" s="11" t="s">
        <v>480</v>
      </c>
    </row>
    <row r="8367" spans="1:4" ht="30">
      <c r="A8367" s="5" t="str">
        <f>HYPERLINK("https://www.oit.va.gov/Services/TRM/ToolPage.aspx?tid=12981^","WebIssues")</f>
        <v>WebIssues</v>
      </c>
      <c r="B8367" s="4" t="s">
        <v>7314</v>
      </c>
      <c r="C8367" s="8" t="s">
        <v>5</v>
      </c>
      <c r="D8367" s="11" t="s">
        <v>7315</v>
      </c>
    </row>
    <row r="8368" spans="1:4" ht="30">
      <c r="A8368" s="5" t="str">
        <f>HYPERLINK("https://www.oit.va.gov/Services/TRM/ToolPage.aspx?tid=6746^","Webmin")</f>
        <v>Webmin</v>
      </c>
      <c r="B8368" s="4" t="s">
        <v>7317</v>
      </c>
      <c r="C8368" s="8" t="s">
        <v>5</v>
      </c>
      <c r="D8368" s="11" t="s">
        <v>7318</v>
      </c>
    </row>
    <row r="8369" spans="1:4" ht="30">
      <c r="A8369" s="5" t="str">
        <f>HYPERLINK("https://www.oit.va.gov/Services/TRM/ToolPage.aspx?tid=16823^","Webpack")</f>
        <v>Webpack</v>
      </c>
      <c r="B8369" s="4" t="s">
        <v>6159</v>
      </c>
      <c r="C8369" s="8" t="s">
        <v>5</v>
      </c>
      <c r="D8369" s="11" t="s">
        <v>311</v>
      </c>
    </row>
    <row r="8370" spans="1:4" ht="30">
      <c r="A8370" s="5" t="str">
        <f>HYPERLINK("https://www.oit.va.gov/Services/TRM/ToolPage.aspx?tid=7099^","ABCpdf.NET")</f>
        <v>ABCpdf.NET</v>
      </c>
      <c r="B8370" s="4" t="s">
        <v>281</v>
      </c>
      <c r="C8370" s="8" t="s">
        <v>5</v>
      </c>
      <c r="D8370" s="11" t="s">
        <v>282</v>
      </c>
    </row>
    <row r="8371" spans="1:4" ht="30">
      <c r="A8371" s="5" t="str">
        <f>HYPERLINK("https://www.oit.va.gov/Services/TRM/ToolPage.aspx?tid=8048^","ImageGlue")</f>
        <v>ImageGlue</v>
      </c>
      <c r="B8371" s="4" t="s">
        <v>281</v>
      </c>
      <c r="C8371" s="8" t="s">
        <v>5</v>
      </c>
      <c r="D8371" s="11" t="s">
        <v>8054</v>
      </c>
    </row>
    <row r="8372" spans="1:4" ht="30">
      <c r="A8372" s="5" t="str">
        <f>HYPERLINK("https://www.oit.va.gov/Services/TRM/ToolPage.aspx?tid=7072^","Webtrends Analytics")</f>
        <v>Webtrends Analytics</v>
      </c>
      <c r="B8372" s="4" t="s">
        <v>3632</v>
      </c>
      <c r="C8372" s="8" t="s">
        <v>5</v>
      </c>
      <c r="D8372" s="11" t="s">
        <v>3633</v>
      </c>
    </row>
    <row r="8373" spans="1:4" ht="30">
      <c r="A8373" s="5" t="str">
        <f>HYPERLINK("https://www.oit.va.gov/Services/TRM/ToolPage.aspx?tid=9326^","Service Tool")</f>
        <v>Service Tool</v>
      </c>
      <c r="B8373" s="4" t="s">
        <v>846</v>
      </c>
      <c r="C8373" s="8" t="s">
        <v>5</v>
      </c>
      <c r="D8373" s="11" t="s">
        <v>847</v>
      </c>
    </row>
    <row r="8374" spans="1:4" ht="30">
      <c r="A8374" s="5" t="str">
        <f>HYPERLINK("https://www.oit.va.gov/Services/TRM/ToolPage.aspx?tid=15101^","SmartCare Remote Management")</f>
        <v>SmartCare Remote Management</v>
      </c>
      <c r="B8374" s="4" t="s">
        <v>846</v>
      </c>
      <c r="C8374" s="8" t="s">
        <v>5</v>
      </c>
      <c r="D8374" s="11" t="s">
        <v>2175</v>
      </c>
    </row>
    <row r="8375" spans="1:4" ht="30">
      <c r="A8375" s="5" t="str">
        <f>HYPERLINK("https://www.oit.va.gov/Services/TRM/ToolPage.aspx?tid=15047^","Welch Allyn Software Development Kit (SDK)")</f>
        <v>Welch Allyn Software Development Kit (SDK)</v>
      </c>
      <c r="B8375" s="4" t="s">
        <v>846</v>
      </c>
      <c r="C8375" s="8" t="s">
        <v>5</v>
      </c>
      <c r="D8375" s="11" t="s">
        <v>4942</v>
      </c>
    </row>
    <row r="8376" spans="1:4" ht="30">
      <c r="A8376" s="5" t="str">
        <f>HYPERLINK("https://www.oit.va.gov/Services/TRM/ToolPage.aspx?tid=7092^","CardioPerfect WorkStation")</f>
        <v>CardioPerfect WorkStation</v>
      </c>
      <c r="B8376" s="4" t="s">
        <v>846</v>
      </c>
      <c r="C8376" s="8" t="s">
        <v>5</v>
      </c>
      <c r="D8376" s="11" t="s">
        <v>5089</v>
      </c>
    </row>
    <row r="8377" spans="1:4" ht="30">
      <c r="A8377" s="5" t="str">
        <f>HYPERLINK("https://www.oit.va.gov/Services/TRM/ToolPage.aspx?tid=10779^","Welch Allyn Viewer")</f>
        <v>Welch Allyn Viewer</v>
      </c>
      <c r="B8377" s="4" t="s">
        <v>846</v>
      </c>
      <c r="C8377" s="8" t="s">
        <v>5</v>
      </c>
      <c r="D8377" s="11" t="s">
        <v>5596</v>
      </c>
    </row>
    <row r="8378" spans="1:4" ht="30">
      <c r="A8378" s="5" t="str">
        <f>HYPERLINK("https://www.oit.va.gov/Services/TRM/ToolPage.aspx?tid=15644^","Wellbeats")</f>
        <v>Wellbeats</v>
      </c>
      <c r="B8378" s="4" t="s">
        <v>8921</v>
      </c>
      <c r="C8378" s="8" t="s">
        <v>5</v>
      </c>
      <c r="D8378" s="11" t="s">
        <v>8772</v>
      </c>
    </row>
    <row r="8379" spans="1:4" ht="30">
      <c r="A8379" s="5" t="str">
        <f>HYPERLINK("https://www.oit.va.gov/Services/TRM/ToolPage.aspx?tid=16277^","WellSky Biotherapies Lab")</f>
        <v>WellSky Biotherapies Lab</v>
      </c>
      <c r="B8379" s="4" t="s">
        <v>2057</v>
      </c>
      <c r="C8379" s="8" t="s">
        <v>5</v>
      </c>
      <c r="D8379" s="11" t="s">
        <v>982</v>
      </c>
    </row>
    <row r="8380" spans="1:4" ht="30">
      <c r="A8380" s="5" t="str">
        <f>HYPERLINK("https://www.oit.va.gov/Services/TRM/ToolPage.aspx?tid=6290^","Wellspring for Technology Transfer")</f>
        <v>Wellspring for Technology Transfer</v>
      </c>
      <c r="B8380" s="4" t="s">
        <v>6161</v>
      </c>
      <c r="C8380" s="8" t="s">
        <v>5</v>
      </c>
      <c r="D8380" s="11" t="s">
        <v>6162</v>
      </c>
    </row>
    <row r="8381" spans="1:4" ht="30">
      <c r="A8381" s="5" t="str">
        <f>HYPERLINK("https://www.oit.va.gov/Services/TRM/ToolPage.aspx?tid=16528^","HemoHub Intelligent Data Manager")</f>
        <v>HemoHub Intelligent Data Manager</v>
      </c>
      <c r="B8381" s="4" t="s">
        <v>5855</v>
      </c>
      <c r="C8381" s="8" t="s">
        <v>5</v>
      </c>
      <c r="D8381" s="11" t="s">
        <v>5123</v>
      </c>
    </row>
    <row r="8382" spans="1:4" ht="30">
      <c r="A8382" s="5" t="str">
        <f>HYPERLINK("https://www.oit.va.gov/Services/TRM/ToolPage.aspx?tid=11600^","Match IT! Antibody")</f>
        <v>Match IT! Antibody</v>
      </c>
      <c r="B8382" s="4" t="s">
        <v>5855</v>
      </c>
      <c r="C8382" s="8" t="s">
        <v>5</v>
      </c>
      <c r="D8382" s="11" t="s">
        <v>67</v>
      </c>
    </row>
    <row r="8383" spans="1:4" ht="30">
      <c r="A8383" s="5" t="str">
        <f>HYPERLINK("https://www.oit.va.gov/Services/TRM/ToolPage.aspx?tid=16635^","QUANTA Link")</f>
        <v>QUANTA Link</v>
      </c>
      <c r="B8383" s="4" t="s">
        <v>5855</v>
      </c>
      <c r="C8383" s="8" t="s">
        <v>5</v>
      </c>
      <c r="D8383" s="11" t="s">
        <v>1097</v>
      </c>
    </row>
    <row r="8384" spans="1:4" ht="30">
      <c r="A8384" s="5" t="str">
        <f>HYPERLINK("https://www.oit.va.gov/Services/TRM/ToolPage.aspx?tid=10665^","Synapse Link")</f>
        <v>Synapse Link</v>
      </c>
      <c r="B8384" s="4" t="s">
        <v>5855</v>
      </c>
      <c r="C8384" s="8" t="s">
        <v>5</v>
      </c>
      <c r="D8384" s="11" t="s">
        <v>1119</v>
      </c>
    </row>
    <row r="8385" spans="1:4" ht="30">
      <c r="A8385" s="5" t="str">
        <f>HYPERLINK("https://www.oit.va.gov/Services/TRM/ToolPage.aspx?tid=9266^","Hypertext Markup Language (HTML)-to-Text")</f>
        <v>Hypertext Markup Language (HTML)-to-Text</v>
      </c>
      <c r="B8385" s="4" t="s">
        <v>8046</v>
      </c>
      <c r="C8385" s="8" t="s">
        <v>5</v>
      </c>
      <c r="D8385" s="11" t="s">
        <v>8024</v>
      </c>
    </row>
    <row r="8386" spans="1:4" ht="30">
      <c r="A8386" s="5" t="str">
        <f>HYPERLINK("https://www.oit.va.gov/Services/TRM/ToolPage.aspx?tid=9438^","Cardiovascular Orientation Program (CVOP)")</f>
        <v>Cardiovascular Orientation Program (CVOP)</v>
      </c>
      <c r="B8386" s="4" t="s">
        <v>2441</v>
      </c>
      <c r="C8386" s="8" t="s">
        <v>5</v>
      </c>
      <c r="D8386" s="11" t="s">
        <v>1800</v>
      </c>
    </row>
    <row r="8387" spans="1:4" ht="30">
      <c r="A8387" s="5" t="str">
        <f>HYPERLINK("https://www.oit.va.gov/Services/TRM/ToolPage.aspx?tid=13778^","WesVar")</f>
        <v>WesVar</v>
      </c>
      <c r="B8387" s="4" t="s">
        <v>6163</v>
      </c>
      <c r="C8387" s="8" t="s">
        <v>5</v>
      </c>
      <c r="D8387" s="11" t="s">
        <v>177</v>
      </c>
    </row>
    <row r="8388" spans="1:4" ht="30">
      <c r="A8388" s="5" t="str">
        <f>HYPERLINK("https://www.oit.va.gov/Services/TRM/ToolPage.aspx?tid=14303^","FocusCare")</f>
        <v>FocusCare</v>
      </c>
      <c r="B8388" s="4" t="s">
        <v>1555</v>
      </c>
      <c r="C8388" s="8" t="s">
        <v>5</v>
      </c>
      <c r="D8388" s="11" t="s">
        <v>1556</v>
      </c>
    </row>
    <row r="8389" spans="1:4" ht="30">
      <c r="A8389" s="5" t="str">
        <f>HYPERLINK("https://www.oit.va.gov/Services/TRM/ToolPage.aspx?tid=7540^","Shipley-2 (SHIP-2) Scoring and Administration Software")</f>
        <v>Shipley-2 (SHIP-2) Scoring and Administration Software</v>
      </c>
      <c r="B8389" s="4" t="s">
        <v>6064</v>
      </c>
      <c r="C8389" s="8" t="s">
        <v>5</v>
      </c>
      <c r="D8389" s="11" t="s">
        <v>6065</v>
      </c>
    </row>
    <row r="8390" spans="1:4" ht="30">
      <c r="A8390" s="5" t="str">
        <f>HYPERLINK("https://www.oit.va.gov/Services/TRM/ToolPage.aspx?tid=11093^","Safe Patient Handling (SPH) Navigator")</f>
        <v>Safe Patient Handling (SPH) Navigator</v>
      </c>
      <c r="B8390" s="4" t="s">
        <v>2929</v>
      </c>
      <c r="C8390" s="8" t="s">
        <v>5</v>
      </c>
      <c r="D8390" s="11" t="s">
        <v>451</v>
      </c>
    </row>
    <row r="8391" spans="1:4" ht="30">
      <c r="A8391" s="5" t="str">
        <f>HYPERLINK("https://www.oit.va.gov/Services/TRM/StandardPage.aspx?tid=5201^","Hypertext Markup Language (HTML)")</f>
        <v>Hypertext Markup Language (HTML)</v>
      </c>
      <c r="B8391" s="4" t="s">
        <v>5236</v>
      </c>
      <c r="C8391" s="8" t="s">
        <v>5</v>
      </c>
      <c r="D8391" s="11" t="s">
        <v>5237</v>
      </c>
    </row>
    <row r="8392" spans="1:4" ht="30">
      <c r="A8392" s="5" t="str">
        <f>HYPERLINK("https://www.oit.va.gov/Services/TRM/ToolPage.aspx?tid=6720^","Packages")</f>
        <v>Packages</v>
      </c>
      <c r="B8392" s="4" t="s">
        <v>8381</v>
      </c>
      <c r="C8392" s="8" t="s">
        <v>5</v>
      </c>
      <c r="D8392" s="11" t="s">
        <v>8382</v>
      </c>
    </row>
    <row r="8393" spans="1:4" ht="30">
      <c r="A8393" s="5" t="str">
        <f>HYPERLINK("https://www.oit.va.gov/Services/TRM/ToolPage.aspx?tid=8270^","WhiteSmoke Writer")</f>
        <v>WhiteSmoke Writer</v>
      </c>
      <c r="B8393" s="4" t="s">
        <v>8923</v>
      </c>
      <c r="C8393" s="8" t="s">
        <v>5</v>
      </c>
      <c r="D8393" s="11" t="s">
        <v>6524</v>
      </c>
    </row>
    <row r="8394" spans="1:4" ht="30">
      <c r="A8394" s="5" t="str">
        <f>HYPERLINK("https://www.oit.va.gov/Services/TRM/ToolPage.aspx?tid=7193^","Living Systems Process Suite (LSPS)")</f>
        <v>Living Systems Process Suite (LSPS)</v>
      </c>
      <c r="B8394" s="4" t="s">
        <v>1697</v>
      </c>
      <c r="C8394" s="8" t="s">
        <v>5</v>
      </c>
      <c r="D8394" s="11" t="s">
        <v>1698</v>
      </c>
    </row>
    <row r="8395" spans="1:4" ht="30">
      <c r="A8395" s="5" t="str">
        <f>HYPERLINK("https://www.oit.va.gov/Services/TRM/StandardPage.aspx?tid=5232^","International Nonproprietary Names (INN)")</f>
        <v>International Nonproprietary Names (INN)</v>
      </c>
      <c r="B8395" s="4" t="s">
        <v>4279</v>
      </c>
      <c r="C8395" s="8" t="s">
        <v>5</v>
      </c>
      <c r="D8395" s="11" t="s">
        <v>4236</v>
      </c>
    </row>
    <row r="8396" spans="1:4" ht="30">
      <c r="A8396" s="5" t="str">
        <f>HYPERLINK("https://www.oit.va.gov/Services/TRM/ToolPage.aspx?tid=15729^","World Health Organization (WHONET)")</f>
        <v>World Health Organization (WHONET)</v>
      </c>
      <c r="B8396" s="4" t="s">
        <v>4279</v>
      </c>
      <c r="C8396" s="8" t="s">
        <v>5</v>
      </c>
      <c r="D8396" s="11" t="s">
        <v>1765</v>
      </c>
    </row>
    <row r="8397" spans="1:4" ht="30">
      <c r="A8397" s="5" t="str">
        <f>HYPERLINK("https://www.oit.va.gov/Services/TRM/StandardPage.aspx?tid=5492^","International Classification of Functioning, Disability and Health (ICF)")</f>
        <v>International Classification of Functioning, Disability and Health (ICF)</v>
      </c>
      <c r="B8397" s="4" t="s">
        <v>4279</v>
      </c>
      <c r="C8397" s="8" t="s">
        <v>5</v>
      </c>
      <c r="D8397" s="11" t="s">
        <v>5371</v>
      </c>
    </row>
    <row r="8398" spans="1:4" ht="30">
      <c r="A8398" s="5" t="str">
        <f>HYPERLINK("https://www.oit.va.gov/Services/TRM/ToolPage.aspx?tid=14910^","InstaCode")</f>
        <v>InstaCode</v>
      </c>
      <c r="B8398" s="4" t="s">
        <v>8089</v>
      </c>
      <c r="C8398" s="8" t="s">
        <v>5</v>
      </c>
      <c r="D8398" s="11" t="s">
        <v>6331</v>
      </c>
    </row>
    <row r="8399" spans="1:4" ht="30">
      <c r="A8399" s="5" t="str">
        <f>HYPERLINK("https://www.oit.va.gov/Services/TRM/ToolPage.aspx?tid=11319^","CodeMeter Runtime")</f>
        <v>CodeMeter Runtime</v>
      </c>
      <c r="B8399" s="4" t="s">
        <v>191</v>
      </c>
      <c r="C8399" s="8" t="s">
        <v>5</v>
      </c>
      <c r="D8399" s="11" t="s">
        <v>192</v>
      </c>
    </row>
    <row r="8400" spans="1:4" ht="30">
      <c r="A8400" s="5" t="str">
        <f>HYPERLINK("https://www.oit.va.gov/Services/TRM/ToolPage.aspx?tid=15900^","Widdershins")</f>
        <v>Widdershins</v>
      </c>
      <c r="B8400" s="4" t="s">
        <v>8924</v>
      </c>
      <c r="C8400" s="8" t="s">
        <v>5</v>
      </c>
      <c r="D8400" s="11" t="s">
        <v>4110</v>
      </c>
    </row>
    <row r="8401" spans="1:4" ht="30">
      <c r="A8401" s="5" t="str">
        <f>HYPERLINK("https://www.oit.va.gov/Services/TRM/ToolPage.aspx?tid=9064^","Compass Global Positioning System (GPS)")</f>
        <v>Compass Global Positioning System (GPS)</v>
      </c>
      <c r="B8401" s="4" t="s">
        <v>7685</v>
      </c>
      <c r="C8401" s="8" t="s">
        <v>5</v>
      </c>
      <c r="D8401" s="11" t="s">
        <v>3958</v>
      </c>
    </row>
    <row r="8402" spans="1:4" ht="30">
      <c r="A8402" s="5" t="str">
        <f>HYPERLINK("https://www.oit.va.gov/Services/TRM/ToolPage.aspx?tid=6607^","Postfix")</f>
        <v>Postfix</v>
      </c>
      <c r="B8402" s="4" t="s">
        <v>4621</v>
      </c>
      <c r="C8402" s="8" t="s">
        <v>5</v>
      </c>
      <c r="D8402" s="11" t="s">
        <v>4622</v>
      </c>
    </row>
    <row r="8403" spans="1:4" ht="30">
      <c r="A8403" s="5" t="str">
        <f>HYPERLINK("https://www.oit.va.gov/Services/TRM/StandardPage.aspx?tid=5316^","Wi-Fi Protected Access (WPA)")</f>
        <v>Wi-Fi Protected Access (WPA)</v>
      </c>
      <c r="B8403" s="4" t="s">
        <v>7327</v>
      </c>
      <c r="C8403" s="8" t="s">
        <v>5</v>
      </c>
      <c r="D8403" s="11" t="s">
        <v>7328</v>
      </c>
    </row>
    <row r="8404" spans="1:4" ht="30">
      <c r="A8404" s="5" t="str">
        <f>HYPERLINK("https://www.oit.va.gov/Services/TRM/ToolPage.aspx?tid=16489^","Wiiisdom Ops")</f>
        <v>Wiiisdom Ops</v>
      </c>
      <c r="B8404" s="4" t="s">
        <v>2059</v>
      </c>
      <c r="C8404" s="8" t="s">
        <v>5</v>
      </c>
      <c r="D8404" s="11" t="s">
        <v>2060</v>
      </c>
    </row>
    <row r="8405" spans="1:4" ht="30">
      <c r="A8405" s="5" t="str">
        <f>HYPERLINK("https://www.oit.va.gov/Services/TRM/ToolPage.aspx?tid=5113^","MediaWiki")</f>
        <v>MediaWiki</v>
      </c>
      <c r="B8405" s="4" t="s">
        <v>2756</v>
      </c>
      <c r="C8405" s="8" t="s">
        <v>5</v>
      </c>
      <c r="D8405" s="11" t="s">
        <v>821</v>
      </c>
    </row>
    <row r="8406" spans="1:4" ht="30">
      <c r="A8406" s="5" t="str">
        <f>HYPERLINK("https://www.oit.va.gov/Services/TRM/ToolPage.aspx?tid=9224^","MediaWiki Extension Replace Text")</f>
        <v>MediaWiki Extension Replace Text</v>
      </c>
      <c r="B8406" s="4" t="s">
        <v>2756</v>
      </c>
      <c r="C8406" s="8" t="s">
        <v>5</v>
      </c>
      <c r="D8406" s="11" t="s">
        <v>3665</v>
      </c>
    </row>
    <row r="8407" spans="1:4" ht="30">
      <c r="A8407" s="5" t="str">
        <f>HYPERLINK("https://www.oit.va.gov/Services/TRM/ToolPage.aspx?tid=8611^","MediaWiki Extension: Auth_Remoteuser")</f>
        <v>MediaWiki Extension: Auth_Remoteuser</v>
      </c>
      <c r="B8407" s="4" t="s">
        <v>2756</v>
      </c>
      <c r="C8407" s="8" t="s">
        <v>5</v>
      </c>
      <c r="D8407" s="11" t="s">
        <v>5328</v>
      </c>
    </row>
    <row r="8408" spans="1:4" ht="30">
      <c r="A8408" s="5" t="str">
        <f>HYPERLINK("https://www.oit.va.gov/Services/TRM/ToolPage.aspx?tid=8612^","MediaWiki Extension: Google Analytics Integration")</f>
        <v>MediaWiki Extension: Google Analytics Integration</v>
      </c>
      <c r="B8408" s="4" t="s">
        <v>2756</v>
      </c>
      <c r="C8408" s="8" t="s">
        <v>5</v>
      </c>
      <c r="D8408" s="11" t="s">
        <v>5328</v>
      </c>
    </row>
    <row r="8409" spans="1:4" ht="30">
      <c r="A8409" s="5" t="str">
        <f>HYPERLINK("https://www.oit.va.gov/Services/TRM/ToolPage.aspx?tid=8613^","MediaWiki Extension: TreeAndMenu")</f>
        <v>MediaWiki Extension: TreeAndMenu</v>
      </c>
      <c r="B8409" s="4" t="s">
        <v>2756</v>
      </c>
      <c r="C8409" s="8" t="s">
        <v>5</v>
      </c>
      <c r="D8409" s="11" t="s">
        <v>2692</v>
      </c>
    </row>
    <row r="8410" spans="1:4" ht="30">
      <c r="A8410" s="5" t="str">
        <f>HYPERLINK("https://www.oit.va.gov/Services/TRM/ToolPage.aspx?tid=8614^","MediaWiki Extension: VisualEditor")</f>
        <v>MediaWiki Extension: VisualEditor</v>
      </c>
      <c r="B8410" s="4" t="s">
        <v>2756</v>
      </c>
      <c r="C8410" s="8" t="s">
        <v>5</v>
      </c>
      <c r="D8410" s="11" t="s">
        <v>8235</v>
      </c>
    </row>
    <row r="8411" spans="1:4" ht="30">
      <c r="A8411" s="5" t="str">
        <f>HYPERLINK("https://www.oit.va.gov/Services/TRM/ToolPage.aspx?tid=8465^","Wild Divine")</f>
        <v>Wild Divine</v>
      </c>
      <c r="B8411" s="4" t="s">
        <v>4992</v>
      </c>
      <c r="C8411" s="8" t="s">
        <v>5</v>
      </c>
      <c r="D8411" s="11" t="s">
        <v>4993</v>
      </c>
    </row>
    <row r="8412" spans="1:4" ht="30">
      <c r="A8412" s="5" t="str">
        <f>HYPERLINK("https://www.oit.va.gov/Services/TRM/ToolPage.aspx?tid=8835^","Conscious Food Court")</f>
        <v>Conscious Food Court</v>
      </c>
      <c r="B8412" s="4" t="s">
        <v>4992</v>
      </c>
      <c r="C8412" s="8" t="s">
        <v>5</v>
      </c>
      <c r="D8412" s="11" t="s">
        <v>7694</v>
      </c>
    </row>
    <row r="8413" spans="1:4" ht="30">
      <c r="A8413" s="5" t="str">
        <f>HYPERLINK("https://www.oit.va.gov/Services/TRM/ToolPage.aspx?tid=7613^","OMEGA")</f>
        <v>OMEGA</v>
      </c>
      <c r="B8413" s="4" t="s">
        <v>2292</v>
      </c>
      <c r="C8413" s="8" t="s">
        <v>5</v>
      </c>
      <c r="D8413" s="11" t="s">
        <v>2293</v>
      </c>
    </row>
    <row r="8414" spans="1:4" ht="30">
      <c r="A8414" s="5" t="str">
        <f>HYPERLINK("https://www.oit.va.gov/Services/TRM/ToolPage.aspx?tid=8478^","WinBatch+Compiler")</f>
        <v>WinBatch+Compiler</v>
      </c>
      <c r="B8414" s="4" t="s">
        <v>2333</v>
      </c>
      <c r="C8414" s="8" t="s">
        <v>5</v>
      </c>
      <c r="D8414" s="11" t="s">
        <v>2334</v>
      </c>
    </row>
    <row r="8415" spans="1:4" ht="30">
      <c r="A8415" s="5" t="str">
        <f>HYPERLINK("https://www.oit.va.gov/Services/TRM/ToolPage.aspx?tid=15407^","Digital Clock")</f>
        <v>Digital Clock</v>
      </c>
      <c r="B8415" s="4" t="s">
        <v>7763</v>
      </c>
      <c r="C8415" s="8" t="s">
        <v>5</v>
      </c>
      <c r="D8415" s="11" t="s">
        <v>7764</v>
      </c>
    </row>
    <row r="8416" spans="1:4" ht="30">
      <c r="A8416" s="5" t="str">
        <f>HYPERLINK("https://www.oit.va.gov/Services/TRM/ToolPage.aspx?tid=15048^","Win-911")</f>
        <v>Win-911</v>
      </c>
      <c r="B8416" s="4" t="s">
        <v>2061</v>
      </c>
      <c r="C8416" s="8" t="s">
        <v>5</v>
      </c>
      <c r="D8416" s="11" t="s">
        <v>273</v>
      </c>
    </row>
    <row r="8417" spans="1:4" ht="30">
      <c r="A8417" s="5" t="str">
        <f>HYPERLINK("https://www.oit.va.gov/Services/TRM/ToolPage.aspx?tid=15640^","Icon Shepherd")</f>
        <v>Icon Shepherd</v>
      </c>
      <c r="B8417" s="4" t="s">
        <v>2258</v>
      </c>
      <c r="C8417" s="8" t="s">
        <v>5</v>
      </c>
      <c r="D8417" s="11" t="s">
        <v>2259</v>
      </c>
    </row>
    <row r="8418" spans="1:4" ht="30">
      <c r="A8418" s="5" t="str">
        <f>HYPERLINK("https://www.oit.va.gov/Services/TRM/ToolPage.aspx?tid=11768^","Virtual Audio Cable")</f>
        <v>Virtual Audio Cable</v>
      </c>
      <c r="B8418" s="4" t="s">
        <v>8877</v>
      </c>
      <c r="C8418" s="8" t="s">
        <v>5</v>
      </c>
      <c r="D8418" s="11" t="s">
        <v>1101</v>
      </c>
    </row>
    <row r="8419" spans="1:4" ht="30">
      <c r="A8419" s="5" t="str">
        <f>HYPERLINK("https://www.oit.va.gov/Services/TRM/ToolPage.aspx?tid=9473^","WinEdt")</f>
        <v>WinEdt</v>
      </c>
      <c r="B8419" s="4" t="s">
        <v>3085</v>
      </c>
      <c r="C8419" s="8" t="s">
        <v>5</v>
      </c>
      <c r="D8419" s="11" t="s">
        <v>103</v>
      </c>
    </row>
    <row r="8420" spans="1:4" ht="30">
      <c r="A8420" s="5" t="str">
        <f>HYPERLINK("https://www.oit.va.gov/Services/TRM/ToolPage.aspx?tid=16500^","WinFSP - Windows File System Proxy")</f>
        <v>WinFSP - Windows File System Proxy</v>
      </c>
      <c r="B8420" s="4" t="s">
        <v>3637</v>
      </c>
      <c r="C8420" s="8" t="s">
        <v>5</v>
      </c>
      <c r="D8420" s="11" t="s">
        <v>610</v>
      </c>
    </row>
    <row r="8421" spans="1:4" ht="30">
      <c r="A8421" s="5" t="str">
        <f>HYPERLINK("https://www.oit.va.gov/Services/TRM/ToolPage.aspx?tid=11162^","WinISO")</f>
        <v>WinISO</v>
      </c>
      <c r="B8421" s="4" t="s">
        <v>8934</v>
      </c>
      <c r="C8421" s="8" t="s">
        <v>5</v>
      </c>
      <c r="D8421" s="11" t="s">
        <v>6231</v>
      </c>
    </row>
    <row r="8422" spans="1:4" ht="30">
      <c r="A8422" s="5" t="str">
        <f>HYPERLINK("https://www.oit.va.gov/Services/TRM/ToolPage.aspx?tid=6182^","WinMerge")</f>
        <v>WinMerge</v>
      </c>
      <c r="B8422" s="4" t="s">
        <v>6213</v>
      </c>
      <c r="C8422" s="8" t="s">
        <v>5</v>
      </c>
      <c r="D8422" s="11" t="s">
        <v>3578</v>
      </c>
    </row>
    <row r="8423" spans="1:4" ht="30">
      <c r="A8423" s="5" t="str">
        <f>HYPERLINK("https://www.oit.va.gov/Services/TRM/ToolPage.aspx?tid=9989^","WinUndelete")</f>
        <v>WinUndelete</v>
      </c>
      <c r="B8423" s="4" t="s">
        <v>3089</v>
      </c>
      <c r="C8423" s="8" t="s">
        <v>5</v>
      </c>
      <c r="D8423" s="11" t="s">
        <v>3090</v>
      </c>
    </row>
    <row r="8424" spans="1:4" ht="30">
      <c r="A8424" s="5" t="str">
        <f>HYPERLINK("https://www.oit.va.gov/Services/TRM/ToolPage.aspx?tid=299^","Windows Secure Copy Protocol (WinSCP)")</f>
        <v>Windows Secure Copy Protocol (WinSCP)</v>
      </c>
      <c r="B8424" s="4" t="s">
        <v>4996</v>
      </c>
      <c r="C8424" s="8" t="s">
        <v>5</v>
      </c>
      <c r="D8424" s="11" t="s">
        <v>4997</v>
      </c>
    </row>
    <row r="8425" spans="1:4" ht="30">
      <c r="A8425" s="5" t="str">
        <f>HYPERLINK("https://www.oit.va.gov/Services/TRM/ToolPage.aspx?tid=10837^","Winscribe Digital Dictation Software")</f>
        <v>Winscribe Digital Dictation Software</v>
      </c>
      <c r="B8425" s="4" t="s">
        <v>6166</v>
      </c>
      <c r="C8425" s="8" t="s">
        <v>5</v>
      </c>
      <c r="D8425" s="11" t="s">
        <v>6167</v>
      </c>
    </row>
    <row r="8426" spans="1:4" ht="30">
      <c r="A8426" s="5" t="str">
        <f>HYPERLINK("https://www.oit.va.gov/Services/TRM/ToolPage.aspx?tid=9588^","Winsteps")</f>
        <v>Winsteps</v>
      </c>
      <c r="B8426" s="4" t="s">
        <v>3087</v>
      </c>
      <c r="C8426" s="8" t="s">
        <v>5</v>
      </c>
      <c r="D8426" s="11" t="s">
        <v>3088</v>
      </c>
    </row>
    <row r="8427" spans="1:4" ht="30">
      <c r="A8427" s="5" t="str">
        <f>HYPERLINK("https://www.oit.va.gov/Services/TRM/ToolPage.aspx?tid=6623^","WinWay Resume Deluxe")</f>
        <v>WinWay Resume Deluxe</v>
      </c>
      <c r="B8427" s="4" t="s">
        <v>8942</v>
      </c>
      <c r="C8427" s="8" t="s">
        <v>5</v>
      </c>
      <c r="D8427" s="11" t="s">
        <v>8943</v>
      </c>
    </row>
    <row r="8428" spans="1:4" ht="30">
      <c r="A8428" s="5" t="str">
        <f>HYPERLINK("https://www.oit.va.gov/Services/TRM/ToolPage.aspx?tid=15769^","WireMock")</f>
        <v>WireMock</v>
      </c>
      <c r="B8428" s="4" t="s">
        <v>7334</v>
      </c>
      <c r="C8428" s="8" t="s">
        <v>5</v>
      </c>
      <c r="D8428" s="11" t="s">
        <v>691</v>
      </c>
    </row>
    <row r="8429" spans="1:4" ht="30">
      <c r="A8429" s="5" t="str">
        <f>HYPERLINK("https://www.oit.va.gov/Services/TRM/ToolPage.aspx?tid=6185^","Wireshark")</f>
        <v>Wireshark</v>
      </c>
      <c r="B8429" s="4" t="s">
        <v>120</v>
      </c>
      <c r="C8429" s="8" t="s">
        <v>5</v>
      </c>
      <c r="D8429" s="11" t="s">
        <v>121</v>
      </c>
    </row>
    <row r="8430" spans="1:4" ht="30">
      <c r="A8430" s="5" t="str">
        <f>HYPERLINK("https://www.oit.va.gov/Services/TRM/ToolPage.aspx?tid=9375^","MathType")</f>
        <v>MathType</v>
      </c>
      <c r="B8430" s="4" t="s">
        <v>2749</v>
      </c>
      <c r="C8430" s="8" t="s">
        <v>5</v>
      </c>
      <c r="D8430" s="11" t="s">
        <v>1004</v>
      </c>
    </row>
    <row r="8431" spans="1:4" ht="30">
      <c r="A8431" s="5" t="str">
        <f>HYPERLINK("https://www.oit.va.gov/Services/TRM/ToolPage.aspx?tid=11232^","ScreenHunter")</f>
        <v>ScreenHunter</v>
      </c>
      <c r="B8431" s="4" t="s">
        <v>7111</v>
      </c>
      <c r="C8431" s="8" t="s">
        <v>5</v>
      </c>
      <c r="D8431" s="11" t="s">
        <v>7112</v>
      </c>
    </row>
    <row r="8432" spans="1:4" ht="30">
      <c r="A8432" s="5" t="str">
        <f>HYPERLINK("https://www.oit.va.gov/Services/TRM/ToolPage.aspx?tid=14185^","Wise Disk Cleaner")</f>
        <v>Wise Disk Cleaner</v>
      </c>
      <c r="B8432" s="4" t="s">
        <v>8945</v>
      </c>
      <c r="C8432" s="8" t="s">
        <v>5</v>
      </c>
      <c r="D8432" s="11" t="s">
        <v>8946</v>
      </c>
    </row>
    <row r="8433" spans="1:4" ht="30">
      <c r="A8433" s="5" t="str">
        <f>HYPERLINK("https://www.oit.va.gov/Services/TRM/ToolPage.aspx?tid=16149^","Calendar Pro for Microsoft Teams")</f>
        <v>Calendar Pro for Microsoft Teams</v>
      </c>
      <c r="B8433" s="4" t="s">
        <v>5690</v>
      </c>
      <c r="C8433" s="8" t="s">
        <v>5</v>
      </c>
      <c r="D8433" s="11" t="s">
        <v>933</v>
      </c>
    </row>
    <row r="8434" spans="1:4" ht="30">
      <c r="A8434" s="5" t="str">
        <f>HYPERLINK("https://www.oit.va.gov/Services/TRM/ToolPage.aspx?tid=9169^","Field Collection - Drupal Module")</f>
        <v>Field Collection - Drupal Module</v>
      </c>
      <c r="B8434" s="4" t="s">
        <v>7918</v>
      </c>
      <c r="C8434" s="8" t="s">
        <v>5</v>
      </c>
      <c r="D8434" s="11" t="s">
        <v>1210</v>
      </c>
    </row>
    <row r="8435" spans="1:4" ht="30">
      <c r="A8435" s="5" t="str">
        <f>HYPERLINK("https://www.oit.va.gov/Services/TRM/ToolPage.aspx?tid=13016^","Mathematica")</f>
        <v>Mathematica</v>
      </c>
      <c r="B8435" s="4" t="s">
        <v>2748</v>
      </c>
      <c r="C8435" s="8" t="s">
        <v>5</v>
      </c>
      <c r="D8435" s="11" t="s">
        <v>2708</v>
      </c>
    </row>
    <row r="8436" spans="1:4" ht="30">
      <c r="A8436" s="5" t="str">
        <f>HYPERLINK("https://www.oit.va.gov/Services/TRM/ToolPage.aspx?tid=12989^","Wolfram Player")</f>
        <v>Wolfram Player</v>
      </c>
      <c r="B8436" s="4" t="s">
        <v>2748</v>
      </c>
      <c r="C8436" s="8" t="s">
        <v>5</v>
      </c>
      <c r="D8436" s="11" t="s">
        <v>7335</v>
      </c>
    </row>
    <row r="8437" spans="1:4" ht="30">
      <c r="A8437" s="5" t="str">
        <f>HYPERLINK("https://www.oit.va.gov/Services/TRM/ToolPage.aspx?tid=7985^","TeamMate+ Controls")</f>
        <v>TeamMate+ Controls</v>
      </c>
      <c r="B8437" s="4" t="s">
        <v>116</v>
      </c>
      <c r="C8437" s="8" t="s">
        <v>5</v>
      </c>
      <c r="D8437" s="11" t="s">
        <v>117</v>
      </c>
    </row>
    <row r="8438" spans="1:4" ht="30">
      <c r="A8438" s="5" t="str">
        <f>HYPERLINK("https://www.oit.va.gov/Services/TRM/ToolPage.aspx?tid=14959^","TeamMate Analytics")</f>
        <v>TeamMate Analytics</v>
      </c>
      <c r="B8438" s="4" t="s">
        <v>116</v>
      </c>
      <c r="C8438" s="8" t="s">
        <v>5</v>
      </c>
      <c r="D8438" s="11" t="s">
        <v>469</v>
      </c>
    </row>
    <row r="8439" spans="1:4" ht="30">
      <c r="A8439" s="5" t="str">
        <f>HYPERLINK("https://www.oit.va.gov/Services/TRM/ToolPage.aspx?tid=6388^","TeamMate Audit Management System")</f>
        <v>TeamMate Audit Management System</v>
      </c>
      <c r="B8439" s="4" t="s">
        <v>116</v>
      </c>
      <c r="C8439" s="8" t="s">
        <v>5</v>
      </c>
      <c r="D8439" s="11" t="s">
        <v>1113</v>
      </c>
    </row>
    <row r="8440" spans="1:4" ht="30">
      <c r="A8440" s="5" t="str">
        <f>HYPERLINK("https://www.oit.va.gov/Services/TRM/ToolPage.aspx?tid=15102^","Invistics Drug Diversion Detection (Flowlytics)")</f>
        <v>Invistics Drug Diversion Detection (Flowlytics)</v>
      </c>
      <c r="B8440" s="4" t="s">
        <v>4280</v>
      </c>
      <c r="C8440" s="8" t="s">
        <v>5</v>
      </c>
      <c r="D8440" s="11" t="s">
        <v>4281</v>
      </c>
    </row>
    <row r="8441" spans="1:4" ht="30">
      <c r="A8441" s="5" t="str">
        <f>HYPERLINK("https://www.oit.va.gov/Services/TRM/ToolPage.aspx?tid=15660^","Medi-Span Installer")</f>
        <v>Medi-Span Installer</v>
      </c>
      <c r="B8441" s="4" t="s">
        <v>4280</v>
      </c>
      <c r="C8441" s="8" t="s">
        <v>5</v>
      </c>
      <c r="D8441" s="11" t="s">
        <v>487</v>
      </c>
    </row>
    <row r="8442" spans="1:4" ht="30">
      <c r="A8442" s="5" t="str">
        <f>HYPERLINK("https://www.oit.va.gov/Services/TRM/ToolPage.aspx?tid=6748^","Wondershare UniConverter")</f>
        <v>Wondershare UniConverter</v>
      </c>
      <c r="B8442" s="4" t="s">
        <v>3680</v>
      </c>
      <c r="C8442" s="8" t="s">
        <v>5</v>
      </c>
      <c r="D8442" s="11" t="s">
        <v>372</v>
      </c>
    </row>
    <row r="8443" spans="1:4" ht="30">
      <c r="A8443" s="5" t="str">
        <f>HYPERLINK("https://www.oit.va.gov/Services/TRM/ToolPage.aspx?tid=14971^","Filmora")</f>
        <v>Filmora</v>
      </c>
      <c r="B8443" s="4" t="s">
        <v>3680</v>
      </c>
      <c r="C8443" s="8" t="s">
        <v>5</v>
      </c>
      <c r="D8443" s="11" t="s">
        <v>4132</v>
      </c>
    </row>
    <row r="8444" spans="1:4" ht="30">
      <c r="A8444" s="5" t="str">
        <f>HYPERLINK("https://www.oit.va.gov/Services/TRM/ToolPage.aspx?tid=7325^","WordPress")</f>
        <v>WordPress</v>
      </c>
      <c r="B8444" s="4" t="s">
        <v>1220</v>
      </c>
      <c r="C8444" s="8" t="s">
        <v>5</v>
      </c>
      <c r="D8444" s="11" t="s">
        <v>1221</v>
      </c>
    </row>
    <row r="8445" spans="1:4" ht="30">
      <c r="A8445" s="5" t="str">
        <f>HYPERLINK("https://www.oit.va.gov/Services/TRM/ToolPage.aspx?tid=13044^","HT Pro")</f>
        <v>HT Pro</v>
      </c>
      <c r="B8445" s="4" t="s">
        <v>2651</v>
      </c>
      <c r="C8445" s="8" t="s">
        <v>5</v>
      </c>
      <c r="D8445" s="11" t="s">
        <v>2652</v>
      </c>
    </row>
    <row r="8446" spans="1:4" ht="30">
      <c r="A8446" s="5" t="str">
        <f>HYPERLINK("https://www.oit.va.gov/Services/TRM/ToolPage.aspx?tid=15736^","Workplace Applications Audiometric Surveillance Software Module")</f>
        <v>Workplace Applications Audiometric Surveillance Software Module</v>
      </c>
      <c r="B8446" s="4" t="s">
        <v>2651</v>
      </c>
      <c r="C8446" s="8" t="s">
        <v>5</v>
      </c>
      <c r="D8446" s="11" t="s">
        <v>5003</v>
      </c>
    </row>
    <row r="8447" spans="1:4" ht="30">
      <c r="A8447" s="5" t="str">
        <f>HYPERLINK("https://www.oit.va.gov/Services/TRM/ToolPage.aspx?tid=11201^","Wound Zoom Analysis Software")</f>
        <v>Wound Zoom Analysis Software</v>
      </c>
      <c r="B8447" s="4" t="s">
        <v>8957</v>
      </c>
      <c r="C8447" s="8" t="s">
        <v>5</v>
      </c>
      <c r="D8447" s="11" t="s">
        <v>8958</v>
      </c>
    </row>
    <row r="8448" spans="1:4" ht="30">
      <c r="A8448" s="5" t="str">
        <f>HYPERLINK("https://www.oit.va.gov/Services/TRM/ToolPage.aspx?tid=11280^","WoundVision Scout")</f>
        <v>WoundVision Scout</v>
      </c>
      <c r="B8448" s="4" t="s">
        <v>6168</v>
      </c>
      <c r="C8448" s="8" t="s">
        <v>5</v>
      </c>
      <c r="D8448" s="11" t="s">
        <v>6169</v>
      </c>
    </row>
    <row r="8449" spans="1:4" ht="30">
      <c r="A8449" s="5" t="str">
        <f>HYPERLINK("https://www.oit.va.gov/Services/TRM/ToolPage.aspx?tid=8480^","Wowza Streaming Engine")</f>
        <v>Wowza Streaming Engine</v>
      </c>
      <c r="B8449" s="4" t="s">
        <v>3092</v>
      </c>
      <c r="C8449" s="8" t="s">
        <v>5</v>
      </c>
      <c r="D8449" s="11" t="s">
        <v>198</v>
      </c>
    </row>
    <row r="8450" spans="1:4" ht="30">
      <c r="A8450" s="5" t="str">
        <f>HYPERLINK("https://www.oit.va.gov/Services/TRM/ToolPage.aspx?tid=15997^","WR Medical TestWorks")</f>
        <v>WR Medical TestWorks</v>
      </c>
      <c r="B8450" s="4" t="s">
        <v>2069</v>
      </c>
      <c r="C8450" s="8" t="s">
        <v>5</v>
      </c>
      <c r="D8450" s="11" t="s">
        <v>2070</v>
      </c>
    </row>
    <row r="8451" spans="1:4" ht="30">
      <c r="A8451" s="5" t="str">
        <f>HYPERLINK("https://www.oit.va.gov/Services/TRM/ToolPage.aspx?tid=10510^","Wrike")</f>
        <v>Wrike</v>
      </c>
      <c r="B8451" s="4" t="s">
        <v>5599</v>
      </c>
      <c r="C8451" s="8" t="s">
        <v>5</v>
      </c>
      <c r="D8451" s="11" t="s">
        <v>4989</v>
      </c>
    </row>
    <row r="8452" spans="1:4" ht="30">
      <c r="A8452" s="5" t="str">
        <f>HYPERLINK("https://www.oit.va.gov/Services/TRM/StandardPage.aspx?tid=9682^","WS-I Basic Security Profile")</f>
        <v>WS-I Basic Security Profile</v>
      </c>
      <c r="B8452" s="4" t="s">
        <v>8959</v>
      </c>
      <c r="C8452" s="8" t="s">
        <v>5</v>
      </c>
      <c r="D8452" s="11" t="s">
        <v>5399</v>
      </c>
    </row>
    <row r="8453" spans="1:4" ht="30">
      <c r="A8453" s="5" t="str">
        <f>HYPERLINK("https://www.oit.va.gov/Services/TRM/ToolPage.aspx?tid=9752^","PowerMockup")</f>
        <v>PowerMockup</v>
      </c>
      <c r="B8453" s="4" t="s">
        <v>6206</v>
      </c>
      <c r="C8453" s="8" t="s">
        <v>5</v>
      </c>
      <c r="D8453" s="11" t="s">
        <v>5337</v>
      </c>
    </row>
    <row r="8454" spans="1:4" ht="30">
      <c r="A8454" s="5" t="str">
        <f>HYPERLINK("https://www.oit.va.gov/Services/TRM/ToolPage.aspx?tid=7051^","Handlebars")</f>
        <v>Handlebars</v>
      </c>
      <c r="B8454" s="4" t="s">
        <v>2137</v>
      </c>
      <c r="C8454" s="8" t="s">
        <v>5</v>
      </c>
      <c r="D8454" s="11" t="s">
        <v>2138</v>
      </c>
    </row>
    <row r="8455" spans="1:4" ht="30">
      <c r="A8455" s="5" t="str">
        <f>HYPERLINK("https://www.oit.va.gov/Services/TRM/ToolPage.aspx?tid=7523^","X1 Search")</f>
        <v>X1 Search</v>
      </c>
      <c r="B8455" s="4" t="s">
        <v>2072</v>
      </c>
      <c r="C8455" s="8" t="s">
        <v>5</v>
      </c>
      <c r="D8455" s="11" t="s">
        <v>1382</v>
      </c>
    </row>
    <row r="8456" spans="1:4" ht="30">
      <c r="A8456" s="5" t="str">
        <f>HYPERLINK("https://www.oit.va.gov/Services/TRM/ToolPage.aspx?tid=10647^","X2Go")</f>
        <v>X2Go</v>
      </c>
      <c r="B8456" s="4" t="s">
        <v>2203</v>
      </c>
      <c r="C8456" s="8" t="s">
        <v>5</v>
      </c>
      <c r="D8456" s="11" t="s">
        <v>897</v>
      </c>
    </row>
    <row r="8457" spans="1:4" ht="30">
      <c r="A8457" s="5" t="str">
        <f>HYPERLINK("https://www.oit.va.gov/Services/TRM/ToolPage.aspx?tid=15445^","XL-Connector 365")</f>
        <v>XL-Connector 365</v>
      </c>
      <c r="B8457" s="4" t="s">
        <v>5007</v>
      </c>
      <c r="C8457" s="8" t="s">
        <v>5</v>
      </c>
      <c r="D8457" s="11" t="s">
        <v>3090</v>
      </c>
    </row>
    <row r="8458" spans="1:4" ht="30">
      <c r="A8458" s="5" t="str">
        <f>HYPERLINK("https://www.oit.va.gov/Services/TRM/ToolPage.aspx?tid=6868^","HTTrack")</f>
        <v>HTTrack</v>
      </c>
      <c r="B8458" s="4" t="s">
        <v>5233</v>
      </c>
      <c r="C8458" s="8" t="s">
        <v>5</v>
      </c>
      <c r="D8458" s="11" t="s">
        <v>3330</v>
      </c>
    </row>
    <row r="8459" spans="1:4" ht="30">
      <c r="A8459" s="5" t="str">
        <f>HYPERLINK("https://www.oit.va.gov/Services/TRM/ToolPage.aspx?tid=11077^","Kodi")</f>
        <v>Kodi</v>
      </c>
      <c r="B8459" s="4" t="s">
        <v>6771</v>
      </c>
      <c r="C8459" s="8" t="s">
        <v>5</v>
      </c>
      <c r="D8459" s="11" t="s">
        <v>5084</v>
      </c>
    </row>
    <row r="8460" spans="1:4" ht="30">
      <c r="A8460" s="5" t="str">
        <f>HYPERLINK("https://www.oit.va.gov/Services/TRM/ToolPage.aspx?tid=7484^","Xceed Zip for .NET")</f>
        <v>Xceed Zip for .NET</v>
      </c>
      <c r="B8460" s="4" t="s">
        <v>40</v>
      </c>
      <c r="C8460" s="8" t="s">
        <v>5</v>
      </c>
      <c r="D8460" s="11" t="s">
        <v>41</v>
      </c>
    </row>
    <row r="8461" spans="1:4" ht="30">
      <c r="A8461" s="5" t="str">
        <f>HYPERLINK("https://www.oit.va.gov/Services/TRM/ToolPage.aspx?tid=13251^","XenData Server")</f>
        <v>XenData Server</v>
      </c>
      <c r="B8461" s="4" t="s">
        <v>3646</v>
      </c>
      <c r="C8461" s="8" t="s">
        <v>5</v>
      </c>
      <c r="D8461" s="11" t="s">
        <v>3647</v>
      </c>
    </row>
    <row r="8462" spans="1:4" ht="30">
      <c r="A8462" s="5" t="str">
        <f>HYPERLINK("https://www.oit.va.gov/Services/TRM/ToolPage.aspx?tid=10137^","DesignPro Tools")</f>
        <v>DesignPro Tools</v>
      </c>
      <c r="B8462" s="4" t="s">
        <v>645</v>
      </c>
      <c r="C8462" s="8" t="s">
        <v>5</v>
      </c>
      <c r="D8462" s="11" t="s">
        <v>646</v>
      </c>
    </row>
    <row r="8463" spans="1:4" ht="30">
      <c r="A8463" s="5" t="str">
        <f>HYPERLINK("https://www.oit.va.gov/Services/TRM/ToolPage.aspx?tid=10130^","DocuShare")</f>
        <v>DocuShare</v>
      </c>
      <c r="B8463" s="4" t="s">
        <v>645</v>
      </c>
      <c r="C8463" s="8" t="s">
        <v>5</v>
      </c>
      <c r="D8463" s="11" t="s">
        <v>655</v>
      </c>
    </row>
    <row r="8464" spans="1:4" ht="30">
      <c r="A8464" s="5" t="str">
        <f>HYPERLINK("https://www.oit.va.gov/Services/TRM/ToolPage.aspx?tid=15653^","Xerox Desktop Print Experience")</f>
        <v>Xerox Desktop Print Experience</v>
      </c>
      <c r="B8464" s="4" t="s">
        <v>645</v>
      </c>
      <c r="C8464" s="8" t="s">
        <v>5</v>
      </c>
      <c r="D8464" s="11" t="s">
        <v>1196</v>
      </c>
    </row>
    <row r="8465" spans="1:4" ht="30">
      <c r="A8465" s="5" t="str">
        <f>HYPERLINK("https://www.oit.va.gov/Services/TRM/ToolPage.aspx?tid=9277^","CentreWare Web")</f>
        <v>CentreWare Web</v>
      </c>
      <c r="B8465" s="4" t="s">
        <v>645</v>
      </c>
      <c r="C8465" s="8" t="s">
        <v>5</v>
      </c>
      <c r="D8465" s="11" t="s">
        <v>2451</v>
      </c>
    </row>
    <row r="8466" spans="1:4" ht="30">
      <c r="A8466" s="5" t="str">
        <f>HYPERLINK("https://www.oit.va.gov/Services/TRM/ToolPage.aspx?tid=15672^","Xerox FreeFlow Core")</f>
        <v>Xerox FreeFlow Core</v>
      </c>
      <c r="B8466" s="4" t="s">
        <v>645</v>
      </c>
      <c r="C8466" s="8" t="s">
        <v>5</v>
      </c>
      <c r="D8466" s="11" t="s">
        <v>3096</v>
      </c>
    </row>
    <row r="8467" spans="1:4" ht="30">
      <c r="A8467" s="5" t="str">
        <f>HYPERLINK("https://www.oit.va.gov/Services/TRM/ToolPage.aspx?tid=15138^","FreeFlow Variable Information (VI) Design Professional")</f>
        <v>FreeFlow Variable Information (VI) Design Professional</v>
      </c>
      <c r="B8467" s="4" t="s">
        <v>645</v>
      </c>
      <c r="C8467" s="8" t="s">
        <v>5</v>
      </c>
      <c r="D8467" s="11" t="s">
        <v>4122</v>
      </c>
    </row>
    <row r="8468" spans="1:4" ht="30">
      <c r="A8468" s="5" t="str">
        <f>HYPERLINK("https://www.oit.va.gov/Services/TRM/ToolPage.aspx?tid=15137^","Freeflow Variable Input (VI) eCompose")</f>
        <v>Freeflow Variable Input (VI) eCompose</v>
      </c>
      <c r="B8468" s="4" t="s">
        <v>645</v>
      </c>
      <c r="C8468" s="8" t="s">
        <v>5</v>
      </c>
      <c r="D8468" s="11" t="s">
        <v>1756</v>
      </c>
    </row>
    <row r="8469" spans="1:4" ht="30">
      <c r="A8469" s="5" t="str">
        <f>HYPERLINK("https://www.oit.va.gov/Services/TRM/ToolPage.aspx?tid=13796^","Xerox Device Agent (XDA)")</f>
        <v>Xerox Device Agent (XDA)</v>
      </c>
      <c r="B8469" s="4" t="s">
        <v>645</v>
      </c>
      <c r="C8469" s="8" t="s">
        <v>5</v>
      </c>
      <c r="D8469" s="11" t="s">
        <v>5006</v>
      </c>
    </row>
    <row r="8470" spans="1:4" ht="30">
      <c r="A8470" s="5" t="str">
        <f>HYPERLINK("https://www.oit.va.gov/Services/TRM/ToolPage.aspx?tid=10153^","Xerox Device Manager")</f>
        <v>Xerox Device Manager</v>
      </c>
      <c r="B8470" s="4" t="s">
        <v>645</v>
      </c>
      <c r="C8470" s="8" t="s">
        <v>5</v>
      </c>
      <c r="D8470" s="11" t="s">
        <v>1285</v>
      </c>
    </row>
    <row r="8471" spans="1:4" ht="30">
      <c r="A8471" s="5" t="str">
        <f>HYPERLINK("https://www.oit.va.gov/Services/TRM/ToolPage.aspx?tid=15335^","Xerox FreeFlow MakeReady")</f>
        <v>Xerox FreeFlow MakeReady</v>
      </c>
      <c r="B8471" s="4" t="s">
        <v>645</v>
      </c>
      <c r="C8471" s="8" t="s">
        <v>5</v>
      </c>
      <c r="D8471" s="11" t="s">
        <v>3090</v>
      </c>
    </row>
    <row r="8472" spans="1:4" ht="30">
      <c r="A8472" s="5" t="str">
        <f>HYPERLINK("https://www.oit.va.gov/Services/TRM/ToolPage.aspx?tid=10493^","FreeFlow AccXes Client Tools (ACT)")</f>
        <v>FreeFlow AccXes Client Tools (ACT)</v>
      </c>
      <c r="B8472" s="4" t="s">
        <v>645</v>
      </c>
      <c r="C8472" s="8" t="s">
        <v>5</v>
      </c>
      <c r="D8472" s="11" t="s">
        <v>6636</v>
      </c>
    </row>
    <row r="8473" spans="1:4" ht="30">
      <c r="A8473" s="5" t="str">
        <f>HYPERLINK("https://www.oit.va.gov/Services/TRM/ToolPage.aspx?tid=15197^","Xerox FreeFlow Remote Print Server")</f>
        <v>Xerox FreeFlow Remote Print Server</v>
      </c>
      <c r="B8473" s="4" t="s">
        <v>645</v>
      </c>
      <c r="C8473" s="8" t="s">
        <v>5</v>
      </c>
      <c r="D8473" s="11" t="s">
        <v>4993</v>
      </c>
    </row>
    <row r="8474" spans="1:4" ht="30">
      <c r="A8474" s="5" t="str">
        <f>HYPERLINK("https://www.oit.va.gov/Services/TRM/ToolPage.aspx?tid=15190^","Evagene")</f>
        <v>Evagene</v>
      </c>
      <c r="B8474" s="4" t="s">
        <v>1533</v>
      </c>
      <c r="C8474" s="8" t="s">
        <v>5</v>
      </c>
      <c r="D8474" s="11" t="s">
        <v>988</v>
      </c>
    </row>
    <row r="8475" spans="1:4" ht="30">
      <c r="A8475" s="5" t="str">
        <f>HYPERLINK("https://www.oit.va.gov/Services/TRM/ToolPage.aspx?tid=14898^","Synkronizer")</f>
        <v>Synkronizer</v>
      </c>
      <c r="B8475" s="4" t="s">
        <v>1981</v>
      </c>
      <c r="C8475" s="8" t="s">
        <v>5</v>
      </c>
      <c r="D8475" s="11" t="s">
        <v>1982</v>
      </c>
    </row>
    <row r="8476" spans="1:4" ht="30">
      <c r="A8476" s="5" t="str">
        <f>HYPERLINK("https://www.oit.va.gov/Services/TRM/ToolPage.aspx?tid=13922^","XLShare: Add-in for Excel")</f>
        <v>XLShare: Add-in for Excel</v>
      </c>
      <c r="B8476" s="4" t="s">
        <v>7342</v>
      </c>
      <c r="C8476" s="8" t="s">
        <v>5</v>
      </c>
      <c r="D8476" s="11" t="s">
        <v>7343</v>
      </c>
    </row>
    <row r="8477" spans="1:4" ht="30">
      <c r="A8477" s="5" t="str">
        <f>HYPERLINK("https://www.oit.va.gov/Services/TRM/ToolPage.aspx?tid=16413^","TexMaker")</f>
        <v>TexMaker</v>
      </c>
      <c r="B8477" s="4" t="s">
        <v>5550</v>
      </c>
      <c r="C8477" s="8" t="s">
        <v>5</v>
      </c>
      <c r="D8477" s="11" t="s">
        <v>4151</v>
      </c>
    </row>
    <row r="8478" spans="1:4" ht="30">
      <c r="A8478" s="5" t="str">
        <f>HYPERLINK("https://www.oit.va.gov/Services/TRM/ToolPage.aspx?tid=15076^","xMatters Integration Agent")</f>
        <v>xMatters Integration Agent</v>
      </c>
      <c r="B8478" s="4" t="s">
        <v>1132</v>
      </c>
      <c r="C8478" s="8" t="s">
        <v>5</v>
      </c>
      <c r="D8478" s="11" t="s">
        <v>1133</v>
      </c>
    </row>
    <row r="8479" spans="1:4" ht="30">
      <c r="A8479" s="5" t="str">
        <f>HYPERLINK("https://www.oit.va.gov/Services/TRM/ToolPage.aspx?tid=15277^","XMind")</f>
        <v>XMind</v>
      </c>
      <c r="B8479" s="4" t="s">
        <v>6170</v>
      </c>
      <c r="C8479" s="8" t="s">
        <v>5</v>
      </c>
      <c r="D8479" s="11" t="s">
        <v>374</v>
      </c>
    </row>
    <row r="8480" spans="1:4" ht="30">
      <c r="A8480" s="5" t="str">
        <f>HYPERLINK("https://www.oit.va.gov/Services/TRM/ToolPage.aspx?tid=6305^","Extensible Markup Language (XML) Unit for Java")</f>
        <v>Extensible Markup Language (XML) Unit for Java</v>
      </c>
      <c r="B8480" s="4" t="s">
        <v>7902</v>
      </c>
      <c r="C8480" s="8" t="s">
        <v>5</v>
      </c>
      <c r="D8480" s="11" t="s">
        <v>7903</v>
      </c>
    </row>
    <row r="8481" spans="1:4" ht="30">
      <c r="A8481" s="5" t="str">
        <f>HYPERLINK("https://www.oit.va.gov/Services/TRM/ToolPage.aspx?tid=11246^","PersonalEffect Storeflow")</f>
        <v>PersonalEffect Storeflow</v>
      </c>
      <c r="B8481" s="4" t="s">
        <v>243</v>
      </c>
      <c r="C8481" s="8" t="s">
        <v>5</v>
      </c>
      <c r="D8481" s="11" t="s">
        <v>244</v>
      </c>
    </row>
    <row r="8482" spans="1:4" ht="30">
      <c r="A8482" s="5" t="str">
        <f>HYPERLINK("https://www.oit.va.gov/Services/TRM/ToolPage.aspx?tid=11120^","PersonalEffect TransMedia")</f>
        <v>PersonalEffect TransMedia</v>
      </c>
      <c r="B8482" s="4" t="s">
        <v>243</v>
      </c>
      <c r="C8482" s="8" t="s">
        <v>5</v>
      </c>
      <c r="D8482" s="11" t="s">
        <v>530</v>
      </c>
    </row>
    <row r="8483" spans="1:4" ht="30">
      <c r="A8483" s="5" t="str">
        <f>HYPERLINK("https://www.oit.va.gov/Services/TRM/ToolPage.aspx?tid=6189^","XnView")</f>
        <v>XnView</v>
      </c>
      <c r="B8483" s="4" t="s">
        <v>7346</v>
      </c>
      <c r="C8483" s="8" t="s">
        <v>5</v>
      </c>
      <c r="D8483" s="11" t="s">
        <v>5299</v>
      </c>
    </row>
    <row r="8484" spans="1:4" ht="30">
      <c r="A8484" s="5" t="str">
        <f>HYPERLINK("https://www.oit.va.gov/Services/TRM/ToolPage.aspx?tid=11197^","Xodo Portable Document Format Tool")</f>
        <v>Xodo Portable Document Format Tool</v>
      </c>
      <c r="B8484" s="4" t="s">
        <v>7347</v>
      </c>
      <c r="C8484" s="8" t="s">
        <v>5</v>
      </c>
      <c r="D8484" s="11" t="s">
        <v>7348</v>
      </c>
    </row>
    <row r="8485" spans="1:4" ht="30">
      <c r="A8485" s="5" t="str">
        <f>HYPERLINK("https://www.oit.va.gov/Services/TRM/ToolPage.aspx?tid=8097^","Clearbox Enterprise RADIUS Server")</f>
        <v>Clearbox Enterprise RADIUS Server</v>
      </c>
      <c r="B8485" s="4" t="s">
        <v>2458</v>
      </c>
      <c r="C8485" s="8" t="s">
        <v>5</v>
      </c>
      <c r="D8485" s="11" t="s">
        <v>2459</v>
      </c>
    </row>
    <row r="8486" spans="1:4" ht="30">
      <c r="A8486" s="5" t="str">
        <f>HYPERLINK("https://www.oit.va.gov/Services/TRM/ToolPage.aspx?tid=6190^","XpoLog Center")</f>
        <v>XpoLog Center</v>
      </c>
      <c r="B8486" s="4" t="s">
        <v>2073</v>
      </c>
      <c r="C8486" s="8" t="s">
        <v>5</v>
      </c>
      <c r="D8486" s="11" t="s">
        <v>2074</v>
      </c>
    </row>
    <row r="8487" spans="1:4" ht="30">
      <c r="A8487" s="5" t="str">
        <f>HYPERLINK("https://www.oit.va.gov/Services/TRM/ToolPage.aspx?tid=13054^","XQuartz")</f>
        <v>XQuartz</v>
      </c>
      <c r="B8487" s="4" t="s">
        <v>3648</v>
      </c>
      <c r="C8487" s="8" t="s">
        <v>5</v>
      </c>
      <c r="D8487" s="11" t="s">
        <v>3649</v>
      </c>
    </row>
    <row r="8488" spans="1:4" ht="30">
      <c r="A8488" s="5" t="str">
        <f>HYPERLINK("https://www.oit.va.gov/Services/TRM/ToolPage.aspx?tid=14006^","eXtended Relationship Management (XRM) Toolbox")</f>
        <v>eXtended Relationship Management (XRM) Toolbox</v>
      </c>
      <c r="B8488" s="4" t="s">
        <v>4113</v>
      </c>
      <c r="C8488" s="8" t="s">
        <v>5</v>
      </c>
      <c r="D8488" s="11" t="s">
        <v>985</v>
      </c>
    </row>
    <row r="8489" spans="1:4" ht="30">
      <c r="A8489" s="5" t="str">
        <f>HYPERLINK("https://www.oit.va.gov/Services/TRM/ToolPage.aspx?tid=9921^","ForeSite Seating System (SS)")</f>
        <v>ForeSite Seating System (SS)</v>
      </c>
      <c r="B8489" s="4" t="s">
        <v>5815</v>
      </c>
      <c r="C8489" s="8" t="s">
        <v>5</v>
      </c>
      <c r="D8489" s="11" t="s">
        <v>5816</v>
      </c>
    </row>
    <row r="8490" spans="1:4" ht="30">
      <c r="A8490" s="5" t="str">
        <f>HYPERLINK("https://www.oit.va.gov/Services/TRM/ToolPage.aspx?tid=15857^","XSensor Pro Foot and Gait")</f>
        <v>XSensor Pro Foot and Gait</v>
      </c>
      <c r="B8490" s="4" t="s">
        <v>5815</v>
      </c>
      <c r="C8490" s="8" t="s">
        <v>5</v>
      </c>
      <c r="D8490" s="11" t="s">
        <v>2820</v>
      </c>
    </row>
    <row r="8491" spans="1:4" ht="30">
      <c r="A8491" s="5" t="str">
        <f>HYPERLINK("https://www.oit.va.gov/Services/TRM/ToolPage.aspx?tid=5858^","xSocket")</f>
        <v>xSocket</v>
      </c>
      <c r="B8491" s="4" t="s">
        <v>8966</v>
      </c>
      <c r="C8491" s="8" t="s">
        <v>5</v>
      </c>
      <c r="D8491" s="11" t="s">
        <v>8564</v>
      </c>
    </row>
    <row r="8492" spans="1:4" ht="30">
      <c r="A8492" s="5" t="str">
        <f>HYPERLINK("https://www.oit.va.gov/Services/TRM/ToolPage.aspx?tid=16284^","XSplit VCam")</f>
        <v>XSplit VCam</v>
      </c>
      <c r="B8492" s="4" t="s">
        <v>5011</v>
      </c>
      <c r="C8492" s="8" t="s">
        <v>5</v>
      </c>
      <c r="D8492" s="11" t="s">
        <v>1758</v>
      </c>
    </row>
    <row r="8493" spans="1:4" ht="30">
      <c r="A8493" s="5" t="str">
        <f>HYPERLINK("https://www.oit.va.gov/Services/TRM/ToolPage.aspx?tid=8031^","XStream")</f>
        <v>XStream</v>
      </c>
      <c r="B8493" s="4" t="s">
        <v>3098</v>
      </c>
      <c r="C8493" s="8" t="s">
        <v>5</v>
      </c>
      <c r="D8493" s="11" t="s">
        <v>1212</v>
      </c>
    </row>
    <row r="8494" spans="1:4" ht="30">
      <c r="A8494" s="5" t="str">
        <f>HYPERLINK("https://www.oit.va.gov/Services/TRM/ToolPage.aspx?tid=9552^","AuthentXware")</f>
        <v>AuthentXware</v>
      </c>
      <c r="B8494" s="4" t="s">
        <v>3154</v>
      </c>
      <c r="C8494" s="8" t="s">
        <v>5</v>
      </c>
      <c r="D8494" s="11" t="s">
        <v>2468</v>
      </c>
    </row>
    <row r="8495" spans="1:4" ht="30">
      <c r="A8495" s="5" t="str">
        <f>HYPERLINK("https://www.oit.va.gov/Services/TRM/ToolPage.aspx?tid=15119^","Xymon Monitor")</f>
        <v>Xymon Monitor</v>
      </c>
      <c r="B8495" s="4" t="s">
        <v>7351</v>
      </c>
      <c r="C8495" s="8" t="s">
        <v>5</v>
      </c>
      <c r="D8495" s="11" t="s">
        <v>7352</v>
      </c>
    </row>
    <row r="8496" spans="1:4" ht="30">
      <c r="A8496" s="5" t="str">
        <f>HYPERLINK("https://www.oit.va.gov/Services/TRM/ToolPage.aspx?tid=14624^","Xyplorer")</f>
        <v>Xyplorer</v>
      </c>
      <c r="B8496" s="4" t="s">
        <v>7353</v>
      </c>
      <c r="C8496" s="8" t="s">
        <v>5</v>
      </c>
      <c r="D8496" s="11" t="s">
        <v>5852</v>
      </c>
    </row>
    <row r="8497" spans="1:4" ht="30">
      <c r="A8497" s="5" t="str">
        <f>HYPERLINK("https://www.oit.va.gov/Services/TRM/ToolPage.aspx?tid=7001^","ScheduALL")</f>
        <v>ScheduALL</v>
      </c>
      <c r="B8497" s="4" t="s">
        <v>2936</v>
      </c>
      <c r="C8497" s="8" t="s">
        <v>5</v>
      </c>
      <c r="D8497" s="11" t="s">
        <v>2937</v>
      </c>
    </row>
    <row r="8498" spans="1:4" ht="30">
      <c r="A8498" s="5" t="str">
        <f>HYPERLINK("https://www.oit.va.gov/Services/TRM/ToolPage.aspx?tid=12927^","Auto Internet Explorer (IE) Refresher")</f>
        <v>Auto Internet Explorer (IE) Refresher</v>
      </c>
      <c r="B8498" s="4" t="s">
        <v>6303</v>
      </c>
      <c r="C8498" s="8" t="s">
        <v>5</v>
      </c>
      <c r="D8498" s="11" t="s">
        <v>5653</v>
      </c>
    </row>
    <row r="8499" spans="1:4" ht="30">
      <c r="A8499" s="5" t="str">
        <f>HYPERLINK("https://www.oit.va.gov/Services/TRM/ToolPage.aspx?tid=16686^","Yet Another Forum (YAF)")</f>
        <v>Yet Another Forum (YAF)</v>
      </c>
      <c r="B8499" s="4" t="s">
        <v>60</v>
      </c>
      <c r="C8499" s="8" t="s">
        <v>5</v>
      </c>
      <c r="D8499" s="11" t="s">
        <v>61</v>
      </c>
    </row>
    <row r="8500" spans="1:4" ht="30">
      <c r="A8500" s="5" t="str">
        <f>HYPERLINK("https://www.oit.va.gov/Services/TRM/ToolPage.aspx?tid=5787^","Yahoo! Toolbar")</f>
        <v>Yahoo! Toolbar</v>
      </c>
      <c r="B8500" s="4" t="s">
        <v>8970</v>
      </c>
      <c r="C8500" s="8" t="s">
        <v>5</v>
      </c>
      <c r="D8500" s="11" t="s">
        <v>1912</v>
      </c>
    </row>
    <row r="8501" spans="1:4" ht="30">
      <c r="A8501" s="5" t="str">
        <f>HYPERLINK("https://www.oit.va.gov/Services/TRM/ToolPage.aspx?tid=6192^","Yahoo Widget Engine")</f>
        <v>Yahoo Widget Engine</v>
      </c>
      <c r="B8501" s="4" t="s">
        <v>8969</v>
      </c>
      <c r="C8501" s="8" t="s">
        <v>5</v>
      </c>
      <c r="D8501" s="11" t="s">
        <v>1414</v>
      </c>
    </row>
    <row r="8502" spans="1:4" ht="30">
      <c r="A8502" s="5" t="str">
        <f>HYPERLINK("https://www.oit.va.gov/Services/TRM/ToolPage.aspx?tid=9474^","Y18N")</f>
        <v>Y18N</v>
      </c>
      <c r="B8502" s="4" t="s">
        <v>8968</v>
      </c>
      <c r="C8502" s="8" t="s">
        <v>5</v>
      </c>
      <c r="D8502" s="11" t="s">
        <v>8838</v>
      </c>
    </row>
    <row r="8503" spans="1:4" ht="30">
      <c r="A8503" s="5" t="str">
        <f>HYPERLINK("https://www.oit.va.gov/Services/TRM/ToolPage.aspx?tid=9546^","Yargs")</f>
        <v>Yargs</v>
      </c>
      <c r="B8503" s="4" t="s">
        <v>8968</v>
      </c>
      <c r="C8503" s="8" t="s">
        <v>5</v>
      </c>
      <c r="D8503" s="11" t="s">
        <v>8971</v>
      </c>
    </row>
    <row r="8504" spans="1:4" ht="30">
      <c r="A8504" s="5" t="str">
        <f>HYPERLINK("https://www.oit.va.gov/Services/TRM/ToolPage.aspx?tid=9475^","Yargs-Parser")</f>
        <v>Yargs-Parser</v>
      </c>
      <c r="B8504" s="4" t="s">
        <v>8968</v>
      </c>
      <c r="C8504" s="8" t="s">
        <v>5</v>
      </c>
      <c r="D8504" s="11" t="s">
        <v>8971</v>
      </c>
    </row>
    <row r="8505" spans="1:4" ht="30">
      <c r="A8505" s="5" t="str">
        <f>HYPERLINK("https://www.oit.va.gov/Services/TRM/ToolPage.aspx?tid=15877^","Yarn")</f>
        <v>Yarn</v>
      </c>
      <c r="B8505" s="4" t="s">
        <v>344</v>
      </c>
      <c r="C8505" s="8" t="s">
        <v>5</v>
      </c>
      <c r="D8505" s="11" t="s">
        <v>345</v>
      </c>
    </row>
    <row r="8506" spans="1:4" ht="30">
      <c r="A8506" s="5" t="str">
        <f>HYPERLINK("https://www.oit.va.gov/Services/TRM/ToolPage.aspx?tid=9030^","CodeCharge Studio")</f>
        <v>CodeCharge Studio</v>
      </c>
      <c r="B8506" s="4" t="s">
        <v>3940</v>
      </c>
      <c r="C8506" s="8" t="s">
        <v>5</v>
      </c>
      <c r="D8506" s="11" t="s">
        <v>3926</v>
      </c>
    </row>
    <row r="8507" spans="1:4" ht="30">
      <c r="A8507" s="5" t="str">
        <f>HYPERLINK("https://www.oit.va.gov/Services/TRM/ToolPage.aspx?tid=6627^","YesLogic Prince")</f>
        <v>YesLogic Prince</v>
      </c>
      <c r="B8507" s="4" t="s">
        <v>907</v>
      </c>
      <c r="C8507" s="8" t="s">
        <v>5</v>
      </c>
      <c r="D8507" s="11" t="s">
        <v>908</v>
      </c>
    </row>
    <row r="8508" spans="1:4" ht="30">
      <c r="A8508" s="5" t="str">
        <f>HYPERLINK("https://www.oit.va.gov/Services/TRM/ToolPage.aspx?tid=12951^","NCurses Disk Usage (ncdu)")</f>
        <v>NCurses Disk Usage (ncdu)</v>
      </c>
      <c r="B8508" s="4" t="s">
        <v>8307</v>
      </c>
      <c r="C8508" s="8" t="s">
        <v>5</v>
      </c>
      <c r="D8508" s="11" t="s">
        <v>1099</v>
      </c>
    </row>
    <row r="8509" spans="1:4" ht="30">
      <c r="A8509" s="5" t="str">
        <f>HYPERLINK("https://www.oit.va.gov/Services/TRM/ToolPage.aspx?tid=14065^","Univago HE")</f>
        <v>Univago HE</v>
      </c>
      <c r="B8509" s="4" t="s">
        <v>4947</v>
      </c>
      <c r="C8509" s="8" t="s">
        <v>5</v>
      </c>
      <c r="D8509" s="11" t="s">
        <v>979</v>
      </c>
    </row>
    <row r="8510" spans="1:4" ht="30">
      <c r="A8510" s="5" t="str">
        <f>HYPERLINK("https://www.oit.va.gov/Services/TRM/ToolPage.aspx?tid=16819^","Muffet")</f>
        <v>Muffet</v>
      </c>
      <c r="B8510" s="4" t="s">
        <v>6894</v>
      </c>
      <c r="C8510" s="8" t="s">
        <v>5</v>
      </c>
      <c r="D8510" s="11" t="s">
        <v>6895</v>
      </c>
    </row>
    <row r="8511" spans="1:4" ht="30">
      <c r="A8511" s="5" t="str">
        <f>HYPERLINK("https://www.oit.va.gov/Services/TRM/ToolPage.aspx?tid=13493^","Youdao Desktop")</f>
        <v>Youdao Desktop</v>
      </c>
      <c r="B8511" s="4" t="s">
        <v>8972</v>
      </c>
      <c r="C8511" s="8" t="s">
        <v>5</v>
      </c>
      <c r="D8511" s="11" t="s">
        <v>4850</v>
      </c>
    </row>
    <row r="8512" spans="1:4" ht="30">
      <c r="A8512" s="5" t="str">
        <f>HYPERLINK("https://www.oit.va.gov/Services/TRM/ToolPage.aspx?tid=13122^","Dolphin GuideConnect")</f>
        <v>Dolphin GuideConnect</v>
      </c>
      <c r="B8512" s="4" t="s">
        <v>4038</v>
      </c>
      <c r="C8512" s="8" t="s">
        <v>5</v>
      </c>
      <c r="D8512" s="11" t="s">
        <v>2513</v>
      </c>
    </row>
    <row r="8513" spans="1:4" ht="30">
      <c r="A8513" s="5" t="str">
        <f>HYPERLINK("https://www.oit.va.gov/Services/TRM/ToolPage.aspx?tid=15300^","DriverIdentifier")</f>
        <v>DriverIdentifier</v>
      </c>
      <c r="B8513" s="4" t="s">
        <v>7801</v>
      </c>
      <c r="C8513" s="8" t="s">
        <v>5</v>
      </c>
      <c r="D8513" s="11" t="s">
        <v>3120</v>
      </c>
    </row>
    <row r="8514" spans="1:4" ht="30">
      <c r="A8514" s="5" t="str">
        <f>HYPERLINK("https://www.oit.va.gov/Services/TRM/ToolPage.aspx?tid=16616^","YouTube Music Desktop (YTMDesktop)")</f>
        <v>YouTube Music Desktop (YTMDesktop)</v>
      </c>
      <c r="B8514" s="4" t="s">
        <v>7354</v>
      </c>
      <c r="C8514" s="8" t="s">
        <v>5</v>
      </c>
      <c r="D8514" s="11" t="s">
        <v>7355</v>
      </c>
    </row>
    <row r="8515" spans="1:4" ht="30">
      <c r="A8515" s="5" t="str">
        <f>HYPERLINK("https://www.oit.va.gov/Services/TRM/ToolPage.aspx?tid=15523^","YubiKey Manager")</f>
        <v>YubiKey Manager</v>
      </c>
      <c r="B8515" s="4" t="s">
        <v>5012</v>
      </c>
      <c r="C8515" s="8" t="s">
        <v>5</v>
      </c>
      <c r="D8515" s="11" t="s">
        <v>399</v>
      </c>
    </row>
    <row r="8516" spans="1:4" ht="30">
      <c r="A8516" s="5" t="str">
        <f>HYPERLINK("https://www.oit.va.gov/Services/TRM/ToolPage.aspx?tid=9677^","yEd Graph Editor")</f>
        <v>yEd Graph Editor</v>
      </c>
      <c r="B8516" s="4" t="s">
        <v>2204</v>
      </c>
      <c r="C8516" s="8" t="s">
        <v>5</v>
      </c>
      <c r="D8516" s="11" t="s">
        <v>2074</v>
      </c>
    </row>
    <row r="8517" spans="1:4" ht="30">
      <c r="A8517" s="5" t="str">
        <f>HYPERLINK("https://www.oit.va.gov/Services/TRM/ToolPage.aspx?tid=6479^","Zabbix")</f>
        <v>Zabbix</v>
      </c>
      <c r="B8517" s="4" t="s">
        <v>2075</v>
      </c>
      <c r="C8517" s="8" t="s">
        <v>5</v>
      </c>
      <c r="D8517" s="11" t="s">
        <v>2076</v>
      </c>
    </row>
    <row r="8518" spans="1:4" ht="30">
      <c r="A8518" s="5" t="str">
        <f>HYPERLINK("https://www.oit.va.gov/Services/TRM/ToolPage.aspx?tid=10102^","Xplorer2")</f>
        <v>Xplorer2</v>
      </c>
      <c r="B8518" s="4" t="s">
        <v>8965</v>
      </c>
      <c r="C8518" s="8" t="s">
        <v>5</v>
      </c>
      <c r="D8518" s="11" t="s">
        <v>8890</v>
      </c>
    </row>
    <row r="8519" spans="1:4" ht="30">
      <c r="A8519" s="5" t="str">
        <f>HYPERLINK("https://www.oit.va.gov/Services/TRM/ToolPage.aspx?tid=7817^","Research Compliance Management System (RCMS)")</f>
        <v>Research Compliance Management System (RCMS)</v>
      </c>
      <c r="B8519" s="4" t="s">
        <v>8565</v>
      </c>
      <c r="C8519" s="8" t="s">
        <v>5</v>
      </c>
      <c r="D8519" s="11" t="s">
        <v>6511</v>
      </c>
    </row>
    <row r="8520" spans="1:4" ht="30">
      <c r="A8520" s="5" t="str">
        <f>HYPERLINK("https://www.oit.va.gov/Services/TRM/ToolPage.aspx?tid=10511^","Zan Image Printer")</f>
        <v>Zan Image Printer</v>
      </c>
      <c r="B8520" s="4" t="s">
        <v>8974</v>
      </c>
      <c r="C8520" s="8" t="s">
        <v>5</v>
      </c>
      <c r="D8520" s="11" t="s">
        <v>8975</v>
      </c>
    </row>
    <row r="8521" spans="1:4" ht="30">
      <c r="A8521" s="5" t="str">
        <f>HYPERLINK("https://www.oit.va.gov/Services/TRM/ToolPage.aspx?tid=8463^","ZAP Business Intelligence (BI)")</f>
        <v>ZAP Business Intelligence (BI)</v>
      </c>
      <c r="B8521" s="4" t="s">
        <v>8976</v>
      </c>
      <c r="C8521" s="8" t="s">
        <v>5</v>
      </c>
      <c r="D8521" s="11" t="s">
        <v>6585</v>
      </c>
    </row>
    <row r="8522" spans="1:4" ht="30">
      <c r="A8522" s="5" t="str">
        <f>HYPERLINK("https://www.oit.va.gov/Services/TRM/ToolPage.aspx?tid=14820^","ZappySys Structured Query Language (SQL) Server Integration Services (SSIS) Powerpack")</f>
        <v>ZappySys Structured Query Language (SQL) Server Integration Services (SSIS) Powerpack</v>
      </c>
      <c r="B8522" s="4" t="s">
        <v>5013</v>
      </c>
      <c r="C8522" s="8" t="s">
        <v>5</v>
      </c>
      <c r="D8522" s="11" t="s">
        <v>872</v>
      </c>
    </row>
    <row r="8523" spans="1:4" ht="30">
      <c r="A8523" s="5" t="str">
        <f>HYPERLINK("https://www.oit.va.gov/Services/TRM/ToolPage.aspx?tid=15996^","123Scan")</f>
        <v>123Scan</v>
      </c>
      <c r="B8523" s="4" t="s">
        <v>3682</v>
      </c>
      <c r="C8523" s="8" t="s">
        <v>5</v>
      </c>
      <c r="D8523" s="11" t="s">
        <v>3683</v>
      </c>
    </row>
    <row r="8524" spans="1:4" ht="30">
      <c r="A8524" s="5" t="str">
        <f>HYPERLINK("https://www.oit.va.gov/Services/TRM/ToolPage.aspx?tid=15219^","ZebraDesigner for Developers")</f>
        <v>ZebraDesigner for Developers</v>
      </c>
      <c r="B8524" s="4" t="s">
        <v>3682</v>
      </c>
      <c r="C8524" s="8" t="s">
        <v>5</v>
      </c>
      <c r="D8524" s="11" t="s">
        <v>5016</v>
      </c>
    </row>
    <row r="8525" spans="1:4" ht="30">
      <c r="A8525" s="5" t="str">
        <f>HYPERLINK("https://www.oit.va.gov/Services/TRM/ToolPage.aspx?tid=15308^","Zebra Link O/S Swiss Army Knife")</f>
        <v>Zebra Link O/S Swiss Army Knife</v>
      </c>
      <c r="B8525" s="4" t="s">
        <v>3682</v>
      </c>
      <c r="C8525" s="8" t="s">
        <v>5</v>
      </c>
      <c r="D8525" s="11" t="s">
        <v>4727</v>
      </c>
    </row>
    <row r="8526" spans="1:4" ht="30">
      <c r="A8526" s="5" t="str">
        <f>HYPERLINK("https://www.oit.va.gov/Services/TRM/ToolPage.aspx?tid=15307^","Zebra Network Port Query")</f>
        <v>Zebra Network Port Query</v>
      </c>
      <c r="B8526" s="4" t="s">
        <v>3682</v>
      </c>
      <c r="C8526" s="8" t="s">
        <v>5</v>
      </c>
      <c r="D8526" s="11" t="s">
        <v>4440</v>
      </c>
    </row>
    <row r="8527" spans="1:4" ht="30">
      <c r="A8527" s="5" t="str">
        <f>HYPERLINK("https://www.oit.va.gov/Services/TRM/ToolPage.aspx?tid=14668^","SnapWorks")</f>
        <v>SnapWorks</v>
      </c>
      <c r="B8527" s="4" t="s">
        <v>3682</v>
      </c>
      <c r="C8527" s="8" t="s">
        <v>5</v>
      </c>
      <c r="D8527" s="11" t="s">
        <v>3317</v>
      </c>
    </row>
    <row r="8528" spans="1:4" ht="30">
      <c r="A8528" s="5" t="str">
        <f>HYPERLINK("https://www.oit.va.gov/Services/TRM/ToolPage.aspx?tid=15361^","CS3070 Real Time Clock Synchronization (RTC Sync)")</f>
        <v>CS3070 Real Time Clock Synchronization (RTC Sync)</v>
      </c>
      <c r="B8528" s="4" t="s">
        <v>3682</v>
      </c>
      <c r="C8528" s="8" t="s">
        <v>5</v>
      </c>
      <c r="D8528" s="11" t="s">
        <v>5761</v>
      </c>
    </row>
    <row r="8529" spans="1:4" ht="30">
      <c r="A8529" s="5" t="str">
        <f>HYPERLINK("https://www.oit.va.gov/Services/TRM/ToolPage.aspx?tid=13082^","Zebra Tablet")</f>
        <v>Zebra Tablet</v>
      </c>
      <c r="B8529" s="4" t="s">
        <v>3682</v>
      </c>
      <c r="C8529" s="8" t="s">
        <v>5</v>
      </c>
      <c r="D8529" s="11" t="s">
        <v>5385</v>
      </c>
    </row>
    <row r="8530" spans="1:4" ht="30">
      <c r="A8530" s="5" t="str">
        <f>HYPERLINK("https://www.oit.va.gov/Services/TRM/ToolPage.aspx?tid=11312^","Printer Profile Manager Enterprise (PPME)")</f>
        <v>Printer Profile Manager Enterprise (PPME)</v>
      </c>
      <c r="B8530" s="4" t="s">
        <v>1863</v>
      </c>
      <c r="C8530" s="8" t="s">
        <v>5</v>
      </c>
      <c r="D8530" s="11" t="s">
        <v>1864</v>
      </c>
    </row>
    <row r="8531" spans="1:4" ht="30">
      <c r="A8531" s="5" t="str">
        <f>HYPERLINK("https://www.oit.va.gov/Services/TRM/ToolPage.aspx?tid=10418^","Zebra Setup Utilities")</f>
        <v>Zebra Setup Utilities</v>
      </c>
      <c r="B8531" s="4" t="s">
        <v>1863</v>
      </c>
      <c r="C8531" s="8" t="s">
        <v>5</v>
      </c>
      <c r="D8531" s="11" t="s">
        <v>3651</v>
      </c>
    </row>
    <row r="8532" spans="1:4" ht="30">
      <c r="A8532" s="5" t="str">
        <f>HYPERLINK("https://www.oit.va.gov/Services/TRM/ToolPage.aspx?tid=16298^","123 Radio Frequency Identification (RFID) Desktop")</f>
        <v>123 Radio Frequency Identification (RFID) Desktop</v>
      </c>
      <c r="B8532" s="4" t="s">
        <v>1863</v>
      </c>
      <c r="C8532" s="8" t="s">
        <v>5</v>
      </c>
      <c r="D8532" s="11" t="s">
        <v>3681</v>
      </c>
    </row>
    <row r="8533" spans="1:4" ht="30">
      <c r="A8533" s="5" t="str">
        <f>HYPERLINK("https://www.oit.va.gov/Services/TRM/ToolPage.aspx?tid=7024^","CardStudio")</f>
        <v>CardStudio</v>
      </c>
      <c r="B8533" s="4" t="s">
        <v>1863</v>
      </c>
      <c r="C8533" s="8" t="s">
        <v>5</v>
      </c>
      <c r="D8533" s="11" t="s">
        <v>3888</v>
      </c>
    </row>
    <row r="8534" spans="1:4" ht="30">
      <c r="A8534" s="5" t="str">
        <f>HYPERLINK("https://www.oit.va.gov/Services/TRM/ToolPage.aspx?tid=10864^","ZDownloader")</f>
        <v>ZDownloader</v>
      </c>
      <c r="B8534" s="4" t="s">
        <v>1863</v>
      </c>
      <c r="C8534" s="8" t="s">
        <v>5</v>
      </c>
      <c r="D8534" s="11" t="s">
        <v>4014</v>
      </c>
    </row>
    <row r="8535" spans="1:4" ht="30">
      <c r="A8535" s="5" t="str">
        <f>HYPERLINK("https://www.oit.va.gov/Services/TRM/ToolPage.aspx?tid=14293^","Zebra Browser Print")</f>
        <v>Zebra Browser Print</v>
      </c>
      <c r="B8535" s="4" t="s">
        <v>1863</v>
      </c>
      <c r="C8535" s="8" t="s">
        <v>5</v>
      </c>
      <c r="D8535" s="11" t="s">
        <v>559</v>
      </c>
    </row>
    <row r="8536" spans="1:4" ht="30">
      <c r="A8536" s="5" t="str">
        <f>HYPERLINK("https://www.oit.va.gov/Services/TRM/ToolPage.aspx?tid=16282^","Zebra MotionWorks")</f>
        <v>Zebra MotionWorks</v>
      </c>
      <c r="B8536" s="4" t="s">
        <v>1863</v>
      </c>
      <c r="C8536" s="8" t="s">
        <v>5</v>
      </c>
      <c r="D8536" s="11" t="s">
        <v>5014</v>
      </c>
    </row>
    <row r="8537" spans="1:4" ht="30">
      <c r="A8537" s="5" t="str">
        <f>HYPERLINK("https://www.oit.va.gov/Services/TRM/ToolPage.aspx?tid=5788^","ZebraDesigner")</f>
        <v>ZebraDesigner</v>
      </c>
      <c r="B8537" s="4" t="s">
        <v>1863</v>
      </c>
      <c r="C8537" s="8" t="s">
        <v>5</v>
      </c>
      <c r="D8537" s="11" t="s">
        <v>5015</v>
      </c>
    </row>
    <row r="8538" spans="1:4" ht="30">
      <c r="A8538" s="5" t="str">
        <f>HYPERLINK("https://www.oit.va.gov/Services/TRM/ToolPage.aspx?tid=10838^","ZebraNet Bridge Enterprise")</f>
        <v>ZebraNet Bridge Enterprise</v>
      </c>
      <c r="B8538" s="4" t="s">
        <v>1863</v>
      </c>
      <c r="C8538" s="8" t="s">
        <v>5</v>
      </c>
      <c r="D8538" s="11" t="s">
        <v>5017</v>
      </c>
    </row>
    <row r="8539" spans="1:4" ht="30">
      <c r="A8539" s="5" t="str">
        <f>HYPERLINK("https://www.oit.va.gov/Services/TRM/ToolPage.aspx?tid=11498^","Zebra Designer for Extensible Markup Language (XML)")</f>
        <v>Zebra Designer for Extensible Markup Language (XML)</v>
      </c>
      <c r="B8539" s="4" t="s">
        <v>1863</v>
      </c>
      <c r="C8539" s="8" t="s">
        <v>5</v>
      </c>
      <c r="D8539" s="11" t="s">
        <v>6174</v>
      </c>
    </row>
    <row r="8540" spans="1:4" ht="30">
      <c r="A8540" s="5" t="str">
        <f>HYPERLINK("https://www.oit.va.gov/Services/TRM/ToolPage.aspx?tid=13326^","Zebra Scanner Software Developer Kit (SDK)")</f>
        <v>Zebra Scanner Software Developer Kit (SDK)</v>
      </c>
      <c r="B8540" s="4" t="s">
        <v>1863</v>
      </c>
      <c r="C8540" s="8" t="s">
        <v>5</v>
      </c>
      <c r="D8540" s="11" t="s">
        <v>6017</v>
      </c>
    </row>
    <row r="8541" spans="1:4" ht="30">
      <c r="A8541" s="5" t="str">
        <f>HYPERLINK("https://www.oit.va.gov/Services/TRM/ToolPage.aspx?tid=11414^","Zebra Price Management Execution (PME)")</f>
        <v>Zebra Price Management Execution (PME)</v>
      </c>
      <c r="B8541" s="4" t="s">
        <v>1863</v>
      </c>
      <c r="C8541" s="8" t="s">
        <v>5</v>
      </c>
      <c r="D8541" s="11" t="s">
        <v>2604</v>
      </c>
    </row>
    <row r="8542" spans="1:4" ht="30">
      <c r="A8542" s="5" t="str">
        <f>HYPERLINK("https://www.oit.va.gov/Services/TRM/ToolPage.aspx?tid=11514^","ZebraLink Enterprise Connector")</f>
        <v>ZebraLink Enterprise Connector</v>
      </c>
      <c r="B8542" s="4" t="s">
        <v>1863</v>
      </c>
      <c r="C8542" s="8" t="s">
        <v>5</v>
      </c>
      <c r="D8542" s="11" t="s">
        <v>1800</v>
      </c>
    </row>
    <row r="8543" spans="1:4" ht="30">
      <c r="A8543" s="5" t="str">
        <f>HYPERLINK("https://www.oit.va.gov/Services/TRM/ToolPage.aspx?tid=14485^","BAR-ONE")</f>
        <v>BAR-ONE</v>
      </c>
      <c r="B8543" s="4" t="s">
        <v>1863</v>
      </c>
      <c r="C8543" s="8" t="s">
        <v>5</v>
      </c>
      <c r="D8543" s="11" t="s">
        <v>7130</v>
      </c>
    </row>
    <row r="8544" spans="1:4" ht="30">
      <c r="A8544" s="5" t="str">
        <f>HYPERLINK("https://www.oit.va.gov/Services/TRM/ToolPage.aspx?tid=6151^","Symbol CS1504 Software Development Kit (SDK)")</f>
        <v>Symbol CS1504 Software Development Kit (SDK)</v>
      </c>
      <c r="B8544" s="4" t="s">
        <v>1863</v>
      </c>
      <c r="C8544" s="8" t="s">
        <v>5</v>
      </c>
      <c r="D8544" s="11" t="s">
        <v>8770</v>
      </c>
    </row>
    <row r="8545" spans="1:4" ht="30">
      <c r="A8545" s="5" t="str">
        <f>HYPERLINK("https://www.oit.va.gov/Services/TRM/ToolPage.aspx?tid=16743^","Atlas Review Software for I.Profiler Plus")</f>
        <v>Atlas Review Software for I.Profiler Plus</v>
      </c>
      <c r="B8545" s="4" t="s">
        <v>289</v>
      </c>
      <c r="C8545" s="8" t="s">
        <v>5</v>
      </c>
      <c r="D8545" s="11" t="s">
        <v>290</v>
      </c>
    </row>
    <row r="8546" spans="1:4" ht="30">
      <c r="A8546" s="5" t="str">
        <f>HYPERLINK("https://www.oit.va.gov/Services/TRM/ToolPage.aspx?tid=8167^","FORUM")</f>
        <v>FORUM</v>
      </c>
      <c r="B8546" s="4" t="s">
        <v>289</v>
      </c>
      <c r="C8546" s="8" t="s">
        <v>5</v>
      </c>
      <c r="D8546" s="11" t="s">
        <v>303</v>
      </c>
    </row>
    <row r="8547" spans="1:4" ht="30">
      <c r="A8547" s="5" t="str">
        <f>HYPERLINK("https://www.oit.va.gov/Services/TRM/ToolPage.aspx?tid=15620^","CLARUS Review")</f>
        <v>CLARUS Review</v>
      </c>
      <c r="B8547" s="4" t="s">
        <v>289</v>
      </c>
      <c r="C8547" s="8" t="s">
        <v>5</v>
      </c>
      <c r="D8547" s="11" t="s">
        <v>1433</v>
      </c>
    </row>
    <row r="8548" spans="1:4" ht="30">
      <c r="A8548" s="5" t="str">
        <f>HYPERLINK("https://www.oit.va.gov/Services/TRM/ToolPage.aspx?tid=16507^","VISUSCOUT 100 SYNC")</f>
        <v>VISUSCOUT 100 SYNC</v>
      </c>
      <c r="B8548" s="4" t="s">
        <v>289</v>
      </c>
      <c r="C8548" s="8" t="s">
        <v>5</v>
      </c>
      <c r="D8548" s="11" t="s">
        <v>3886</v>
      </c>
    </row>
    <row r="8549" spans="1:4" ht="30">
      <c r="A8549" s="5" t="str">
        <f>HYPERLINK("https://www.oit.va.gov/Services/TRM/ToolPage.aspx?tid=13185^","Zeiss Efficient Navigation (ZEN) Lite")</f>
        <v>Zeiss Efficient Navigation (ZEN) Lite</v>
      </c>
      <c r="B8549" s="4" t="s">
        <v>289</v>
      </c>
      <c r="C8549" s="8" t="s">
        <v>5</v>
      </c>
      <c r="D8549" s="11" t="s">
        <v>2829</v>
      </c>
    </row>
    <row r="8550" spans="1:4" ht="30">
      <c r="A8550" s="5" t="str">
        <f>HYPERLINK("https://www.oit.va.gov/Services/TRM/ToolPage.aspx?tid=15970^","Zello Work")</f>
        <v>Zello Work</v>
      </c>
      <c r="B8550" s="4" t="s">
        <v>6175</v>
      </c>
      <c r="C8550" s="8" t="s">
        <v>5</v>
      </c>
      <c r="D8550" s="11" t="s">
        <v>3086</v>
      </c>
    </row>
    <row r="8551" spans="1:4" ht="30">
      <c r="A8551" s="5" t="str">
        <f>HYPERLINK("https://www.oit.va.gov/Services/TRM/ToolPage.aspx?tid=8466^","Zenaware Monitor")</f>
        <v>Zenaware Monitor</v>
      </c>
      <c r="B8551" s="4" t="s">
        <v>8979</v>
      </c>
      <c r="C8551" s="8" t="s">
        <v>5</v>
      </c>
      <c r="D8551" s="11" t="s">
        <v>8713</v>
      </c>
    </row>
    <row r="8552" spans="1:4" ht="30">
      <c r="A8552" s="5" t="str">
        <f>HYPERLINK("https://www.oit.va.gov/Services/TRM/ToolPage.aspx?tid=8467^","Zend Guard")</f>
        <v>Zend Guard</v>
      </c>
      <c r="B8552" s="4" t="s">
        <v>2205</v>
      </c>
      <c r="C8552" s="8" t="s">
        <v>5</v>
      </c>
      <c r="D8552" s="11" t="s">
        <v>2206</v>
      </c>
    </row>
    <row r="8553" spans="1:4" ht="30">
      <c r="A8553" s="5" t="str">
        <f>HYPERLINK("https://www.oit.va.gov/Services/TRM/ToolPage.aspx?tid=14300^","ZenHub Enterprise")</f>
        <v>ZenHub Enterprise</v>
      </c>
      <c r="B8553" s="4" t="s">
        <v>5018</v>
      </c>
      <c r="C8553" s="8" t="s">
        <v>5</v>
      </c>
      <c r="D8553" s="11" t="s">
        <v>364</v>
      </c>
    </row>
    <row r="8554" spans="1:4" ht="30">
      <c r="A8554" s="5" t="str">
        <f>HYPERLINK("https://www.oit.va.gov/Services/TRM/ToolPage.aspx?tid=15018^","Softclient")</f>
        <v>Softclient</v>
      </c>
      <c r="B8554" s="4" t="s">
        <v>7154</v>
      </c>
      <c r="C8554" s="8" t="s">
        <v>5</v>
      </c>
      <c r="D8554" s="11" t="s">
        <v>864</v>
      </c>
    </row>
    <row r="8555" spans="1:4" ht="30">
      <c r="A8555" s="5" t="str">
        <f>HYPERLINK("https://www.oit.va.gov/Services/TRM/ToolPage.aspx?tid=13779^","ZenMate Virtual Private Network (VPN)")</f>
        <v>ZenMate Virtual Private Network (VPN)</v>
      </c>
      <c r="B8555" s="4" t="s">
        <v>8980</v>
      </c>
      <c r="C8555" s="8" t="s">
        <v>5</v>
      </c>
      <c r="D8555" s="11" t="s">
        <v>8981</v>
      </c>
    </row>
    <row r="8556" spans="1:4" ht="30">
      <c r="A8556" s="5" t="str">
        <f>HYPERLINK("https://www.oit.va.gov/Services/TRM/ToolPage.aspx?tid=16022^","Zenoss Analytics")</f>
        <v>Zenoss Analytics</v>
      </c>
      <c r="B8556" s="4" t="s">
        <v>278</v>
      </c>
      <c r="C8556" s="8" t="s">
        <v>5</v>
      </c>
      <c r="D8556" s="11" t="s">
        <v>279</v>
      </c>
    </row>
    <row r="8557" spans="1:4" ht="30">
      <c r="A8557" s="5" t="str">
        <f>HYPERLINK("https://www.oit.va.gov/Services/TRM/ToolPage.aspx?tid=14823^","Zenoss Service Dynamics")</f>
        <v>Zenoss Service Dynamics</v>
      </c>
      <c r="B8557" s="4" t="s">
        <v>278</v>
      </c>
      <c r="C8557" s="8" t="s">
        <v>5</v>
      </c>
      <c r="D8557" s="11" t="s">
        <v>280</v>
      </c>
    </row>
    <row r="8558" spans="1:4" ht="30">
      <c r="A8558" s="5" t="str">
        <f>HYPERLINK("https://www.oit.va.gov/Services/TRM/ToolPage.aspx?tid=6932^","Zenoss Core")</f>
        <v>Zenoss Core</v>
      </c>
      <c r="B8558" s="4" t="s">
        <v>278</v>
      </c>
      <c r="C8558" s="8" t="s">
        <v>5</v>
      </c>
      <c r="D8558" s="11" t="s">
        <v>3652</v>
      </c>
    </row>
    <row r="8559" spans="1:4" ht="30">
      <c r="A8559" s="5" t="str">
        <f>HYPERLINK("https://www.oit.va.gov/Services/TRM/ToolPage.aspx?tid=9759^","ZeroMQ")</f>
        <v>ZeroMQ</v>
      </c>
      <c r="B8559" s="4" t="s">
        <v>5603</v>
      </c>
      <c r="C8559" s="8" t="s">
        <v>5</v>
      </c>
      <c r="D8559" s="11" t="s">
        <v>336</v>
      </c>
    </row>
    <row r="8560" spans="1:4" ht="30">
      <c r="A8560" s="5" t="str">
        <f>HYPERLINK("https://www.oit.va.gov/Services/TRM/ToolPage.aspx?tid=6973^","JRebel")</f>
        <v>JRebel</v>
      </c>
      <c r="B8560" s="4" t="s">
        <v>4321</v>
      </c>
      <c r="C8560" s="8" t="s">
        <v>5</v>
      </c>
      <c r="D8560" s="11" t="s">
        <v>3428</v>
      </c>
    </row>
    <row r="8561" spans="1:4" ht="30">
      <c r="A8561" s="5" t="str">
        <f>HYPERLINK("https://www.oit.va.gov/Services/TRM/ToolPage.aspx?tid=9355^","XRebel")</f>
        <v>XRebel</v>
      </c>
      <c r="B8561" s="4" t="s">
        <v>4321</v>
      </c>
      <c r="C8561" s="8" t="s">
        <v>5</v>
      </c>
      <c r="D8561" s="11" t="s">
        <v>6173</v>
      </c>
    </row>
    <row r="8562" spans="1:4" ht="30">
      <c r="A8562" s="5" t="str">
        <f>HYPERLINK("https://www.oit.va.gov/Services/TRM/ToolPage.aspx?tid=15184^","Zerto Virtual Replication")</f>
        <v>Zerto Virtual Replication</v>
      </c>
      <c r="B8562" s="4" t="s">
        <v>3099</v>
      </c>
      <c r="C8562" s="8" t="s">
        <v>5</v>
      </c>
      <c r="D8562" s="11" t="s">
        <v>1331</v>
      </c>
    </row>
    <row r="8563" spans="1:4" ht="30">
      <c r="A8563" s="5" t="str">
        <f>HYPERLINK("https://www.oit.va.gov/Services/TRM/ToolPage.aspx?tid=15692^","Zeto Hybrid Solution")</f>
        <v>Zeto Hybrid Solution</v>
      </c>
      <c r="B8563" s="4" t="s">
        <v>2077</v>
      </c>
      <c r="C8563" s="8" t="s">
        <v>5</v>
      </c>
      <c r="D8563" s="11" t="s">
        <v>1093</v>
      </c>
    </row>
    <row r="8564" spans="1:4" ht="30">
      <c r="A8564" s="5" t="str">
        <f>HYPERLINK("https://www.oit.va.gov/Services/TRM/ToolPage.aspx?tid=14717^","ZbaseW")</f>
        <v>ZbaseW</v>
      </c>
      <c r="B8564" s="4" t="s">
        <v>3650</v>
      </c>
      <c r="C8564" s="8" t="s">
        <v>5</v>
      </c>
      <c r="D8564" s="11" t="s">
        <v>2408</v>
      </c>
    </row>
    <row r="8565" spans="1:4" ht="30">
      <c r="A8565" s="5" t="str">
        <f>HYPERLINK("https://www.oit.va.gov/Services/TRM/ToolPage.aspx?tid=10468^","Caffeine")</f>
        <v>Caffeine</v>
      </c>
      <c r="B8565" s="4" t="s">
        <v>7594</v>
      </c>
      <c r="C8565" s="8" t="s">
        <v>5</v>
      </c>
      <c r="D8565" s="11" t="s">
        <v>2994</v>
      </c>
    </row>
    <row r="8566" spans="1:4" ht="30">
      <c r="A8566" s="5" t="str">
        <f>HYPERLINK("https://www.oit.va.gov/Services/TRM/ToolPage.aspx?tid=13236^","Stickies")</f>
        <v>Stickies</v>
      </c>
      <c r="B8566" s="4" t="s">
        <v>7594</v>
      </c>
      <c r="C8566" s="8" t="s">
        <v>5</v>
      </c>
      <c r="D8566" s="11" t="s">
        <v>7373</v>
      </c>
    </row>
    <row r="8567" spans="1:4" ht="30">
      <c r="A8567" s="5" t="str">
        <f>HYPERLINK("https://www.oit.va.gov/Services/TRM/ToolPage.aspx?tid=13257^","ZBar")</f>
        <v>ZBar</v>
      </c>
      <c r="B8567" s="4" t="s">
        <v>7594</v>
      </c>
      <c r="C8567" s="8" t="s">
        <v>5</v>
      </c>
      <c r="D8567" s="11" t="s">
        <v>8041</v>
      </c>
    </row>
    <row r="8568" spans="1:4" ht="30">
      <c r="A8568" s="5" t="str">
        <f>HYPERLINK("https://www.oit.va.gov/Services/TRM/ToolPage.aspx?tid=15876^","DataPaq")</f>
        <v>DataPaq</v>
      </c>
      <c r="B8568" s="4" t="s">
        <v>2493</v>
      </c>
      <c r="C8568" s="8" t="s">
        <v>5</v>
      </c>
      <c r="D8568" s="11" t="s">
        <v>69</v>
      </c>
    </row>
    <row r="8569" spans="1:4" ht="30">
      <c r="A8569" s="5" t="str">
        <f>HYPERLINK("https://www.oit.va.gov/Services/TRM/ToolPage.aspx?tid=9358^","ioredis")</f>
        <v>ioredis</v>
      </c>
      <c r="B8569" s="4" t="s">
        <v>8102</v>
      </c>
      <c r="C8569" s="8" t="s">
        <v>5</v>
      </c>
      <c r="D8569" s="11" t="s">
        <v>8103</v>
      </c>
    </row>
    <row r="8570" spans="1:4" ht="30">
      <c r="A8570" s="5" t="str">
        <f>HYPERLINK("https://www.oit.va.gov/Services/TRM/ToolPage.aspx?tid=15694^","ZKBioAccess")</f>
        <v>ZKBioAccess</v>
      </c>
      <c r="B8570" s="4" t="s">
        <v>910</v>
      </c>
      <c r="C8570" s="8" t="s">
        <v>5</v>
      </c>
      <c r="D8570" s="11" t="s">
        <v>911</v>
      </c>
    </row>
    <row r="8571" spans="1:4" ht="30">
      <c r="A8571" s="5" t="str">
        <f>HYPERLINK("https://www.oit.va.gov/Services/TRM/ToolPage.aspx?tid=15318^","Zlib")</f>
        <v>Zlib</v>
      </c>
      <c r="B8571" s="4" t="s">
        <v>7356</v>
      </c>
      <c r="C8571" s="8" t="s">
        <v>5</v>
      </c>
      <c r="D8571" s="11" t="s">
        <v>7357</v>
      </c>
    </row>
    <row r="8572" spans="1:4" ht="30">
      <c r="A8572" s="5" t="str">
        <f>HYPERLINK("https://www.oit.va.gov/Services/TRM/ToolPage.aspx?tid=11253^","Amanda")</f>
        <v>Amanda</v>
      </c>
      <c r="B8572" s="4" t="s">
        <v>6262</v>
      </c>
      <c r="C8572" s="8" t="s">
        <v>5</v>
      </c>
      <c r="D8572" s="11" t="s">
        <v>6263</v>
      </c>
    </row>
    <row r="8573" spans="1:4" ht="30">
      <c r="A8573" s="5" t="str">
        <f>HYPERLINK("https://www.oit.va.gov/Services/TRM/ToolPage.aspx?tid=7213^","Zmanda Recovery Manager for MySQL Enterprise")</f>
        <v>Zmanda Recovery Manager for MySQL Enterprise</v>
      </c>
      <c r="B8573" s="4" t="s">
        <v>6262</v>
      </c>
      <c r="C8573" s="8" t="s">
        <v>5</v>
      </c>
      <c r="D8573" s="11" t="s">
        <v>7249</v>
      </c>
    </row>
    <row r="8574" spans="1:4" ht="30">
      <c r="A8574" s="5" t="str">
        <f>HYPERLINK("https://www.oit.va.gov/Services/TRM/ToolPage.aspx?tid=7733^","RescueNet EventSummary")</f>
        <v>RescueNet EventSummary</v>
      </c>
      <c r="B8574" s="4" t="s">
        <v>2913</v>
      </c>
      <c r="C8574" s="8" t="s">
        <v>5</v>
      </c>
      <c r="D8574" s="11" t="s">
        <v>2471</v>
      </c>
    </row>
    <row r="8575" spans="1:4" ht="30">
      <c r="A8575" s="5" t="str">
        <f>HYPERLINK("https://www.oit.va.gov/Services/TRM/ToolPage.aspx?tid=7498^","RescueLink")</f>
        <v>RescueLink</v>
      </c>
      <c r="B8575" s="4" t="s">
        <v>2913</v>
      </c>
      <c r="C8575" s="8" t="s">
        <v>5</v>
      </c>
      <c r="D8575" s="11" t="s">
        <v>1907</v>
      </c>
    </row>
    <row r="8576" spans="1:4" ht="30">
      <c r="A8576" s="5" t="str">
        <f>HYPERLINK("https://www.oit.va.gov/Services/TRM/ToolPage.aspx?tid=14847^","Zoll CaseReview")</f>
        <v>Zoll CaseReview</v>
      </c>
      <c r="B8576" s="4" t="s">
        <v>2913</v>
      </c>
      <c r="C8576" s="8" t="s">
        <v>5</v>
      </c>
      <c r="D8576" s="11" t="s">
        <v>5003</v>
      </c>
    </row>
    <row r="8577" spans="1:4" ht="30">
      <c r="A8577" s="5" t="str">
        <f>HYPERLINK("https://www.oit.va.gov/Services/TRM/ToolPage.aspx?tid=15331^","ZOLL Defibrillator Dashboard")</f>
        <v>ZOLL Defibrillator Dashboard</v>
      </c>
      <c r="B8577" s="4" t="s">
        <v>2913</v>
      </c>
      <c r="C8577" s="8" t="s">
        <v>5</v>
      </c>
      <c r="D8577" s="11" t="s">
        <v>23</v>
      </c>
    </row>
    <row r="8578" spans="1:4" ht="30">
      <c r="A8578" s="5" t="str">
        <f>HYPERLINK("https://www.oit.va.gov/Services/TRM/ToolPage.aspx?tid=14007^","TempTrend")</f>
        <v>TempTrend</v>
      </c>
      <c r="B8578" s="4" t="s">
        <v>8789</v>
      </c>
      <c r="C8578" s="8" t="s">
        <v>5</v>
      </c>
      <c r="D8578" s="11" t="s">
        <v>8790</v>
      </c>
    </row>
    <row r="8579" spans="1:4" ht="30">
      <c r="A8579" s="5" t="str">
        <f>HYPERLINK("https://www.oit.va.gov/Services/TRM/ToolPage.aspx?tid=16856^","EndoPATx")</f>
        <v>EndoPATx</v>
      </c>
      <c r="B8579" s="4" t="s">
        <v>4090</v>
      </c>
      <c r="C8579" s="8" t="s">
        <v>5</v>
      </c>
      <c r="D8579" s="11" t="s">
        <v>4091</v>
      </c>
    </row>
    <row r="8580" spans="1:4" ht="30">
      <c r="A8580" s="5" t="str">
        <f>HYPERLINK("https://www.oit.va.gov/Services/TRM/ToolPage.aspx?tid=14074^","Genie Backup Manager")</f>
        <v>Genie Backup Manager</v>
      </c>
      <c r="B8580" s="4" t="s">
        <v>7972</v>
      </c>
      <c r="C8580" s="8" t="s">
        <v>5</v>
      </c>
      <c r="D8580" s="11" t="s">
        <v>6320</v>
      </c>
    </row>
    <row r="8581" spans="1:4" ht="30">
      <c r="A8581" s="5" t="str">
        <f>HYPERLINK("https://www.oit.va.gov/Services/TRM/ToolPage.aspx?tid=11645^","Zoom for Government (Desktop)")</f>
        <v>Zoom for Government (Desktop)</v>
      </c>
      <c r="B8581" s="4" t="s">
        <v>3654</v>
      </c>
      <c r="C8581" s="8" t="s">
        <v>5</v>
      </c>
      <c r="D8581" s="11" t="s">
        <v>3655</v>
      </c>
    </row>
    <row r="8582" spans="1:4" ht="30">
      <c r="A8582" s="5" t="str">
        <f>HYPERLINK("https://www.oit.va.gov/Services/TRM/ToolPage.aspx?tid=9868^","ZOPE (Z Object Publishing Environment) Application Server")</f>
        <v>ZOPE (Z Object Publishing Environment) Application Server</v>
      </c>
      <c r="B8582" s="4" t="s">
        <v>3656</v>
      </c>
      <c r="C8582" s="8" t="s">
        <v>5</v>
      </c>
      <c r="D8582" s="11" t="s">
        <v>3657</v>
      </c>
    </row>
    <row r="8583" spans="1:4" ht="30">
      <c r="A8583" s="5" t="str">
        <f>HYPERLINK("https://www.oit.va.gov/Services/TRM/ToolPage.aspx?tid=9951^","Zovy Archive")</f>
        <v>Zovy Archive</v>
      </c>
      <c r="B8583" s="4" t="s">
        <v>7358</v>
      </c>
      <c r="C8583" s="8" t="s">
        <v>5</v>
      </c>
      <c r="D8583" s="11" t="s">
        <v>1117</v>
      </c>
    </row>
    <row r="8584" spans="1:4" ht="30">
      <c r="A8584" s="5" t="str">
        <f>HYPERLINK("https://www.oit.va.gov/Services/TRM/ToolPage.aspx?tid=15941^","App Connectors")</f>
        <v>App Connectors</v>
      </c>
      <c r="B8584" s="4" t="s">
        <v>3761</v>
      </c>
      <c r="C8584" s="8" t="s">
        <v>5</v>
      </c>
      <c r="D8584" s="11" t="s">
        <v>3762</v>
      </c>
    </row>
    <row r="8585" spans="1:4" ht="30">
      <c r="A8585" s="5" t="str">
        <f>HYPERLINK("https://www.oit.va.gov/Services/TRM/ToolPage.aspx?tid=15913^","Nanolog Streaming Service (NSS)")</f>
        <v>Nanolog Streaming Service (NSS)</v>
      </c>
      <c r="B8585" s="4" t="s">
        <v>3761</v>
      </c>
      <c r="C8585" s="8" t="s">
        <v>5</v>
      </c>
      <c r="D8585" s="11" t="s">
        <v>5959</v>
      </c>
    </row>
    <row r="8586" spans="1:4" ht="30">
      <c r="A8586" s="5" t="str">
        <f>HYPERLINK("https://www.oit.va.gov/Services/TRM/ToolPage.aspx?tid=8821^","Lancet")</f>
        <v>Lancet</v>
      </c>
      <c r="B8586" s="4" t="s">
        <v>8165</v>
      </c>
      <c r="C8586" s="8" t="s">
        <v>5</v>
      </c>
      <c r="D8586" s="11" t="s">
        <v>4628</v>
      </c>
    </row>
    <row r="8587" spans="1:4" ht="30">
      <c r="A8587" s="5" t="str">
        <f>HYPERLINK("https://www.oit.va.gov/Services/TRM/ToolPage.aspx?tid=6660^","Z5")</f>
        <v>Z5</v>
      </c>
      <c r="B8587" s="4" t="s">
        <v>8973</v>
      </c>
      <c r="C8587" s="8" t="s">
        <v>5</v>
      </c>
      <c r="D8587" s="11" t="s">
        <v>3647</v>
      </c>
    </row>
  </sheetData>
  <autoFilter ref="A1:D8587" xr:uid="{00000000-0001-0000-0000-000000000000}">
    <sortState xmlns:xlrd2="http://schemas.microsoft.com/office/spreadsheetml/2017/richdata2" ref="A2:D8587">
      <sortCondition ref="B1:B85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TRM_Search_Result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Rafael M.</cp:lastModifiedBy>
  <dcterms:modified xsi:type="dcterms:W3CDTF">2025-01-17T17:30:30Z</dcterms:modified>
</cp:coreProperties>
</file>